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645" firstSheet="14" activeTab="15"/>
  </bookViews>
  <sheets>
    <sheet name="1. Önk. bevételek és kiadások " sheetId="1" r:id="rId1"/>
    <sheet name="2. Önk. műk bevét. és kiad." sheetId="2" r:id="rId2"/>
    <sheet name="3.ÖNK. felhalm. kiad. és bevét." sheetId="3" r:id="rId3"/>
    <sheet name="4. Polg. Hiv. bevételei" sheetId="4" r:id="rId4"/>
    <sheet name="5. sz. melléklet 1 tábla" sheetId="5" r:id="rId5"/>
    <sheet name="5. sz. melléklet 2. tábla" sheetId="6" r:id="rId6"/>
    <sheet name="6. Intézmények bevételei" sheetId="7" r:id="rId7"/>
    <sheet name="7. Intézmények kiadásai" sheetId="8" r:id="rId8"/>
    <sheet name="8. beruházások" sheetId="9" r:id="rId9"/>
    <sheet name="9. felújítások" sheetId="10" r:id="rId10"/>
    <sheet name="10. Mérleg" sheetId="11" r:id="rId11"/>
    <sheet name="11. Német Kisebbségi Önk." sheetId="12" r:id="rId12"/>
    <sheet name="12. Közvetett támogatások" sheetId="13" r:id="rId13"/>
    <sheet name="13. Hitel, kötvény" sheetId="14" r:id="rId14"/>
    <sheet name="14. sz. melléklet" sheetId="15" r:id="rId15"/>
    <sheet name="pénzmaradvány 2008." sheetId="16" r:id="rId16"/>
    <sheet name="Hóvirág Óvoda 2007" sheetId="17" r:id="rId17"/>
    <sheet name="Iskola 2007" sheetId="18" r:id="rId18"/>
    <sheet name="KKKKK 2007" sheetId="19" r:id="rId19"/>
    <sheet name="Egészségügyi Központ" sheetId="20" r:id="rId20"/>
    <sheet name="Polgármesteri Hivatal 2007" sheetId="21" r:id="rId21"/>
    <sheet name="16. pénzmaradv intézményenként" sheetId="22" r:id="rId22"/>
    <sheet name="17. egyszerűsített mérleg" sheetId="23" r:id="rId23"/>
    <sheet name="18. egyszerűsített pénzforgalmi" sheetId="24" r:id="rId24"/>
    <sheet name="19. egyszerűsített pénzmaradv" sheetId="25" r:id="rId25"/>
    <sheet name="20. eredmény" sheetId="26" r:id="rId26"/>
    <sheet name="21. kiegészítő " sheetId="27" r:id="rId27"/>
    <sheet name="kiegészítő 2" sheetId="28" r:id="rId28"/>
    <sheet name="kiegészítő 4" sheetId="29" r:id="rId29"/>
    <sheet name="kiegészítő  3" sheetId="30" r:id="rId30"/>
    <sheet name="kiegészítő 5" sheetId="31" r:id="rId31"/>
    <sheet name="kiegészítő 6" sheetId="32" r:id="rId32"/>
    <sheet name="kiegészítő 7." sheetId="33" r:id="rId33"/>
    <sheet name="kiegészítő 8." sheetId="34" r:id="rId34"/>
    <sheet name="25. kiegészítő" sheetId="35" r:id="rId35"/>
    <sheet name="26. kiegészítő" sheetId="36" r:id="rId36"/>
    <sheet name="27. kiegészítő" sheetId="37" r:id="rId37"/>
    <sheet name="Munka2" sheetId="38" r:id="rId38"/>
    <sheet name="Munka3" sheetId="39" r:id="rId39"/>
  </sheets>
  <definedNames>
    <definedName name="_xlnm.Print_Area" localSheetId="11">'11. Német Kisebbségi Önk.'!$A$1:$I$43</definedName>
    <definedName name="_xlnm.Print_Area" localSheetId="12">'12. Közvetett támogatások'!$A$1:$O$27</definedName>
    <definedName name="_xlnm.Print_Area" localSheetId="23">'18. egyszerűsített pénzforgalmi'!$A$1:$I$44</definedName>
    <definedName name="_xlnm.Print_Area" localSheetId="24">'19. egyszerűsített pénzmaradv'!$A$1:$L$32</definedName>
    <definedName name="_xlnm.Print_Area" localSheetId="25">'20. eredmény'!$A$1:$L$28</definedName>
    <definedName name="_xlnm.Print_Area" localSheetId="6">'6. Intézmények bevételei'!$A$1:$Z$38</definedName>
    <definedName name="_xlnm.Print_Area" localSheetId="7">'7. Intézmények kiadásai'!$A$1:$AU$35</definedName>
    <definedName name="_xlnm.Print_Area" localSheetId="8">'8. beruházások'!$A$1:$I$111</definedName>
    <definedName name="_xlnm.Print_Area" localSheetId="28">'kiegészítő 4'!$1:$64</definedName>
  </definedNames>
  <calcPr fullCalcOnLoad="1"/>
</workbook>
</file>

<file path=xl/sharedStrings.xml><?xml version="1.0" encoding="utf-8"?>
<sst xmlns="http://schemas.openxmlformats.org/spreadsheetml/2006/main" count="3027" uniqueCount="1392">
  <si>
    <t>Eredeti</t>
  </si>
  <si>
    <t>Módosított</t>
  </si>
  <si>
    <t>Teljesítés</t>
  </si>
  <si>
    <t>előirányzat</t>
  </si>
  <si>
    <t>ezer Ft-ban</t>
  </si>
  <si>
    <t>Összege</t>
  </si>
  <si>
    <t>BEVÉTELEK</t>
  </si>
  <si>
    <t>Megnevezés</t>
  </si>
  <si>
    <t>KIADÁSOK</t>
  </si>
  <si>
    <t>Támogatási kölcsönök visszatérülése, értékpapírok</t>
  </si>
  <si>
    <t>Előző évi vállalkozási eredmény igénybevétele</t>
  </si>
  <si>
    <t xml:space="preserve">Bevételek mindösszesen </t>
  </si>
  <si>
    <t>Költségvetési létszámkeret</t>
  </si>
  <si>
    <t xml:space="preserve">Működési kiadások </t>
  </si>
  <si>
    <t>Kiadások mindösszesen</t>
  </si>
  <si>
    <t>Általános tartalék</t>
  </si>
  <si>
    <t>felhalmozási kiadások</t>
  </si>
  <si>
    <t>egyéb pénzbeli juttatás ( csatorna 15%)</t>
  </si>
  <si>
    <t xml:space="preserve">tényleges kiadások összesen </t>
  </si>
  <si>
    <t>Összesen:</t>
  </si>
  <si>
    <t>Céltartalék 1/a tábla 8. pont</t>
  </si>
  <si>
    <t>%</t>
  </si>
  <si>
    <t>Felhalmozási bevételek:</t>
  </si>
  <si>
    <t>Működési bevételek:</t>
  </si>
  <si>
    <t>Hitelek:</t>
  </si>
  <si>
    <t>Pénzforgalom nélküli bevételek:</t>
  </si>
  <si>
    <r>
      <t xml:space="preserve">Adony Város </t>
    </r>
    <r>
      <rPr>
        <b/>
        <sz val="14"/>
        <rFont val="Arial"/>
        <family val="2"/>
      </rPr>
      <t>Önkormányzat</t>
    </r>
    <r>
      <rPr>
        <b/>
        <sz val="10"/>
        <rFont val="Arial"/>
        <family val="2"/>
      </rPr>
      <t xml:space="preserve"> 2009. évi </t>
    </r>
    <r>
      <rPr>
        <b/>
        <sz val="14"/>
        <rFont val="Arial"/>
        <family val="2"/>
      </rPr>
      <t>bevételei és kiadásai</t>
    </r>
  </si>
  <si>
    <t>B</t>
  </si>
  <si>
    <t>C</t>
  </si>
  <si>
    <t>D</t>
  </si>
  <si>
    <t>E</t>
  </si>
  <si>
    <t>együtt</t>
  </si>
  <si>
    <t>23-as űrlap</t>
  </si>
  <si>
    <t>eltérés</t>
  </si>
  <si>
    <t>bevételek</t>
  </si>
  <si>
    <t xml:space="preserve">Nyitó állomány 2009.01.01. (bankszámlák):                                               </t>
  </si>
  <si>
    <t xml:space="preserve">Pénzforgalom nélküli bevételek:                                                                                                             </t>
  </si>
  <si>
    <t xml:space="preserve">2009. évi bevételek:                                                                                                                              </t>
  </si>
  <si>
    <t xml:space="preserve">2009. évi kiadások:                                                                                                                             </t>
  </si>
  <si>
    <t>kiadások</t>
  </si>
  <si>
    <t>ellenőrzés:</t>
  </si>
  <si>
    <t>A</t>
  </si>
  <si>
    <t>tényleges bevételek összesen</t>
  </si>
  <si>
    <r>
      <t xml:space="preserve">Záró állomány 2009. 12. 31.   (bankszámlák)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                                                   </t>
    </r>
  </si>
  <si>
    <t xml:space="preserve"> 1. melléklet a 7/2010. (IV.30.) önkormányzati rendelethez</t>
  </si>
  <si>
    <t>Önkormányzatok sajátos működési bevételei 2.melléklet 14. pont</t>
  </si>
  <si>
    <t>Működési célú támogatások 2.melléklet 29. pont</t>
  </si>
  <si>
    <t>Intézményi működési bevételek 2.melléklet 2. pont</t>
  </si>
  <si>
    <t>Működési célú pénzeszköz átvétel  2.melléklet 36. és 42. pont</t>
  </si>
  <si>
    <r>
      <t>Felhalmozási és tőke jellegű bevételek 3.melléklet</t>
    </r>
    <r>
      <rPr>
        <sz val="8"/>
        <rFont val="Arial"/>
        <family val="2"/>
      </rPr>
      <t xml:space="preserve"> 4., 5. pont</t>
    </r>
  </si>
  <si>
    <r>
      <t>Felhalm. célú pénzeszk. átvétel 3.melléklet</t>
    </r>
    <r>
      <rPr>
        <sz val="8"/>
        <rFont val="Arial"/>
        <family val="2"/>
      </rPr>
      <t xml:space="preserve"> 11.  pont</t>
    </r>
  </si>
  <si>
    <t>értékesítésének, kibocsátásának bevétele 3.mell. 14. pont</t>
  </si>
  <si>
    <t>Működési célú hitel felvétel, kötvénykibocsátás 2.melléklet  41. pont</t>
  </si>
  <si>
    <t xml:space="preserve">Felhalmozási célú hitel felvétel, kötvénykibocsátás 3.melléklet 18. pont </t>
  </si>
  <si>
    <t>Előző évi pénzmaradvány igénybevétele 2.melléklet 43. pont és a 3.melléklet 19. pont</t>
  </si>
  <si>
    <t>kiegyenlítő , függő,  átfutó bevételek ( - )2. melléklet 45. pont</t>
  </si>
  <si>
    <t>Személyi jellegű kiadások 2.melléklet 48.pont</t>
  </si>
  <si>
    <t>Munkaadót terhelő járulékok 2. melléklet 74. pont</t>
  </si>
  <si>
    <t>Dologi jellegű kiadások 2.melléklet  80. pont</t>
  </si>
  <si>
    <t>Ellátottak pénzbeli juttatásai 2. melléklet  116.  pont</t>
  </si>
  <si>
    <t>Speciális célú támogatások 2. melléklet  133. és 146. pont</t>
  </si>
  <si>
    <t xml:space="preserve">Beruházási kiadások 3.melléklet 22. pont </t>
  </si>
  <si>
    <t>Felújítási kiadások 3.melléklet 21. pont</t>
  </si>
  <si>
    <t>Egyéb felhalmozási kiadások(GESZTOR) 3.melléklet  26. pont</t>
  </si>
  <si>
    <t>Kölcsön nyújtás ( első lakáshoz jut.) 3. melléklet 32. pont</t>
  </si>
  <si>
    <t>Hitel visszafizetés (fejlesztési) 3. melléklet  29. pont</t>
  </si>
  <si>
    <t>kiegyenlítő, függő , átfutó kiadások 2.melléklet 150. pont</t>
  </si>
  <si>
    <t>pénzforgalom nélküli kiadások 2. melléklet 151. pont</t>
  </si>
  <si>
    <t xml:space="preserve"> Működési kiadások mindösszesen </t>
  </si>
  <si>
    <t>Pénzforgalom nélküli kiadások</t>
  </si>
  <si>
    <t xml:space="preserve">kiegyenlítő, függő, átfutó kiadások </t>
  </si>
  <si>
    <t>hitel visszafizetés</t>
  </si>
  <si>
    <t>finanszírozási kiadások</t>
  </si>
  <si>
    <t xml:space="preserve">Céltartalék </t>
  </si>
  <si>
    <t>támogatás értékű működési kiadás átadása ( társulási ÖNO és uszoda)</t>
  </si>
  <si>
    <r>
      <t xml:space="preserve">pénzbeli kártérítés , egyéb pénzbeli juttatás </t>
    </r>
    <r>
      <rPr>
        <sz val="8"/>
        <rFont val="Arial"/>
        <family val="2"/>
      </rPr>
      <t>(közmű 15%)</t>
    </r>
  </si>
  <si>
    <t>egyéb támogatások ( területfejlesztés, katasztrófa alap stb. )</t>
  </si>
  <si>
    <t xml:space="preserve">BURSA támogatás </t>
  </si>
  <si>
    <t>Kistérségi társulás</t>
  </si>
  <si>
    <t>civil szervezetek támogatása pályázat formájában</t>
  </si>
  <si>
    <t>német kisebbség iskola támogatása</t>
  </si>
  <si>
    <t>rendőrség</t>
  </si>
  <si>
    <t>képviselői "felajánlás" (az előirányzat tartalékba átrakva)</t>
  </si>
  <si>
    <t>Adonyért Alapítvány</t>
  </si>
  <si>
    <t>sportkör</t>
  </si>
  <si>
    <t>polgárőrség</t>
  </si>
  <si>
    <t>Polgár város támogatása</t>
  </si>
  <si>
    <t>Speciális célú támogatások</t>
  </si>
  <si>
    <t>egyéb juttatások (közlekedési támogatások, mozgáskorlát.)</t>
  </si>
  <si>
    <t>rászolrultságtól függő normatív kedvezmények</t>
  </si>
  <si>
    <t xml:space="preserve">közgyógy ellátás  </t>
  </si>
  <si>
    <t>temetési segély</t>
  </si>
  <si>
    <t>köztemetés</t>
  </si>
  <si>
    <t>egyéb, az önkormányzat rendeletében megállapított juttatás</t>
  </si>
  <si>
    <t xml:space="preserve">egyéb rászorultságtól függő ellátások (átmeneti segélyek )  </t>
  </si>
  <si>
    <t>időskorúak járadéka</t>
  </si>
  <si>
    <t>ápolási  díj helyi megállapítás, méltányossági  (nincs rá állami támogatás)</t>
  </si>
  <si>
    <t>ápolási  díj normatív , alanyi jogon ( 90 %-os  állami támogatottság)</t>
  </si>
  <si>
    <t>rendkívüli gyermekvédelmi támogatás</t>
  </si>
  <si>
    <t xml:space="preserve">rendszeres gyermekvédelmi kedvezményben részesülők  támogatás </t>
  </si>
  <si>
    <t>lakás fenntartási támogatás  (normatív)</t>
  </si>
  <si>
    <t>rendelkezésre állási támogatás</t>
  </si>
  <si>
    <t>rendszeres szociális segély egészségkárosodottak részére</t>
  </si>
  <si>
    <t xml:space="preserve">rendszeres szociális segély </t>
  </si>
  <si>
    <t>ellátottak pénzbeli juttatása ( szociálpolitikai juttatások)</t>
  </si>
  <si>
    <t xml:space="preserve">egyéb folyó kiadások </t>
  </si>
  <si>
    <t>kamatkiadások</t>
  </si>
  <si>
    <t xml:space="preserve"> normatív állami  támogatás visszafizetése</t>
  </si>
  <si>
    <t>adók, díjak, egyéb befizetések ( bank ktg., vagyon biztosítás, pályázati díj)</t>
  </si>
  <si>
    <t xml:space="preserve">egyéb befizetési kötelezettség </t>
  </si>
  <si>
    <t>egyéb dologi kiadáosk</t>
  </si>
  <si>
    <t>reklám, propagandakiadások</t>
  </si>
  <si>
    <t>reprezentáció</t>
  </si>
  <si>
    <t>belföldi kiküldetés (eseti)</t>
  </si>
  <si>
    <t>kiszámlázott termékek és szolgáltatások  áfa befizetése</t>
  </si>
  <si>
    <t>vásárolt termékek és szolgáltatások áfája</t>
  </si>
  <si>
    <t>pénzügyi szolgáltatások kiadásai</t>
  </si>
  <si>
    <t>továbbszámlázott szolgáltatások kiadásai ( közmű díjak  )</t>
  </si>
  <si>
    <t>egyéb üzemeltetési szolgáltatások (posta, szemét szállítás, szennyvíz</t>
  </si>
  <si>
    <t>összege</t>
  </si>
  <si>
    <t>Adony Város Önkormányzat 2009. évi.  működési célú bevételei és kiadásai</t>
  </si>
  <si>
    <t>3.oldal</t>
  </si>
  <si>
    <t>2. melléklet a 7/2010. (IV.30.) önkormányzati rendelethez</t>
  </si>
  <si>
    <t xml:space="preserve">karbantartási, kisjavítási szolgáltatások (gépek, ingatlan , szám. gép jav.  fénymásoló javítás)  </t>
  </si>
  <si>
    <t xml:space="preserve">víz-és csatorna díjak </t>
  </si>
  <si>
    <t xml:space="preserve">villamosenergia -szolgáltatás </t>
  </si>
  <si>
    <t>gázenergia- szolgáltatás</t>
  </si>
  <si>
    <t>szállítási szolgáltatás (eseti autóbusz, személy szállítás)</t>
  </si>
  <si>
    <t xml:space="preserve">bérleti díjak </t>
  </si>
  <si>
    <t xml:space="preserve">vásárolt élelem </t>
  </si>
  <si>
    <t>egyéb kommunikációs szolgáltatások (program követési díj )</t>
  </si>
  <si>
    <t>adatátviteli távközlési díjak (internet)</t>
  </si>
  <si>
    <t>nem adatátviteli távközlési díjak ( telefon)</t>
  </si>
  <si>
    <t>egyéb anyag beszerzés (karbantartási anyag, tisztítószer)</t>
  </si>
  <si>
    <t>munka- és védőruha</t>
  </si>
  <si>
    <t xml:space="preserve">kisértékű tárgyi eszköz beszerzés </t>
  </si>
  <si>
    <t>szakmai anyagok beszerzése</t>
  </si>
  <si>
    <t>hajtó- és kenőanyagok (autó, fűnyíró)</t>
  </si>
  <si>
    <t>tüzelőanyag beszerzés ( gáz palackcsere)</t>
  </si>
  <si>
    <t>egyéb információhordozó beszerzés (CD, DVD, kazetta)</t>
  </si>
  <si>
    <t>folyóirat beszerzés</t>
  </si>
  <si>
    <t>könyv beszerzés</t>
  </si>
  <si>
    <t>irodaszer, nyomtatvány</t>
  </si>
  <si>
    <t>gyógyszerbeszerzés, vegyszer vásárlás</t>
  </si>
  <si>
    <t>Dologi jellegű kiadások</t>
  </si>
  <si>
    <t>munkaadókat terhelő egyéb járulékok ( ápolási díj TB.járuléka)</t>
  </si>
  <si>
    <t>táppénz hozzájárulás</t>
  </si>
  <si>
    <t>egészségügyi hozzájárulás</t>
  </si>
  <si>
    <t>munkaadói járulék</t>
  </si>
  <si>
    <t>társadalombiztosítási járulék</t>
  </si>
  <si>
    <t>Munkaadót terhelő járulékok</t>
  </si>
  <si>
    <t>sorkatonai szolgálatot teljesítők juttatásai</t>
  </si>
  <si>
    <t>állományba nem tartozók jutt.i (megbiz. díjak, felmentési időre járó kereset.)</t>
  </si>
  <si>
    <t>teljes és részmunkaidőben foglalkoztatottak nem rendszeres juttatásai</t>
  </si>
  <si>
    <t>részmunkaidős költségtérítése</t>
  </si>
  <si>
    <t>egyéb költségtérítés (ped. szakirodalom, gépkocsi átalányok)</t>
  </si>
  <si>
    <t>étkezési hozzájárulás</t>
  </si>
  <si>
    <t>közlekedési költségtérítés (munkába járás)</t>
  </si>
  <si>
    <t>üdülési hozzájárulás</t>
  </si>
  <si>
    <t>ruházati költségtérítés</t>
  </si>
  <si>
    <t>részmunkaidősök sajátos juttatásai ( pedagógus továbbképzés)</t>
  </si>
  <si>
    <t>egyéb juttatások (beteg szab., peg.továbbképzés)</t>
  </si>
  <si>
    <t>napidíj</t>
  </si>
  <si>
    <t>jubileumi jutalom</t>
  </si>
  <si>
    <t xml:space="preserve">végkielégítés, </t>
  </si>
  <si>
    <t xml:space="preserve">kereset-kiegészítés fedezete </t>
  </si>
  <si>
    <t>részmunkaidőben foglalk.munkavégzéshez kapcsolódó jutt.</t>
  </si>
  <si>
    <t>egyéb juttatások(távolléti díj, szabadságmegváltás, minőségi bér, ker.kieg)</t>
  </si>
  <si>
    <t>készenlét, ügyelet, túlóra ( iskola)</t>
  </si>
  <si>
    <t xml:space="preserve">jutalom  (kereset kieg.jogcím kifizetése is )  </t>
  </si>
  <si>
    <t xml:space="preserve">részmunkaidőben foglalkoztatottak rendszeres szem.jutt. </t>
  </si>
  <si>
    <t>egyéb feltételtől függő pótlék(munkaköz.vez., védőnői területi pótlék, eü.munkahelyi pótlék)</t>
  </si>
  <si>
    <t>egyéb pótlékok(közalkalmazott vezetői, oszt. főnöki)</t>
  </si>
  <si>
    <t>nyelvpótlék</t>
  </si>
  <si>
    <t xml:space="preserve">illetmény kiegészítések( köztisztviselő főiskola, jegyző) </t>
  </si>
  <si>
    <t xml:space="preserve">alapilletmények </t>
  </si>
  <si>
    <t>Személyi jellegű kiadások</t>
  </si>
  <si>
    <t xml:space="preserve"> </t>
  </si>
  <si>
    <t xml:space="preserve"> MŰKÖDÉSI KIADÁSOK</t>
  </si>
  <si>
    <t>2.oldal</t>
  </si>
  <si>
    <t xml:space="preserve"> Működési bevételek mindösszesen </t>
  </si>
  <si>
    <t xml:space="preserve">kiegyenlítő, fűggő, átfutó bevételek (-) </t>
  </si>
  <si>
    <t xml:space="preserve">Előző évi pénzmaradvány igénybevétele (tartalék képzés) Német kisebbségi Önkorm. Pénzmaradv. </t>
  </si>
  <si>
    <t>Pénzforgalom nélküli bevételek</t>
  </si>
  <si>
    <t>előző évi normatíva elszámolásból normatív állami támogatás</t>
  </si>
  <si>
    <t xml:space="preserve">Működési célú hitel, rövid lejáratú hitel </t>
  </si>
  <si>
    <t>Hitelek</t>
  </si>
  <si>
    <t xml:space="preserve">     ebből OEP-től átvett pénzeszköz</t>
  </si>
  <si>
    <t>Működési célú pénzeszköz átvétel államháztart. belülről (támog.ért.bev.)</t>
  </si>
  <si>
    <t>Működési célúpénzeszköz átvétel államházt. kívülről</t>
  </si>
  <si>
    <t>Véglegesen átvett pénzeszközök</t>
  </si>
  <si>
    <t>Helyi önkormáynzatok fejlesztési feladatainak támogatása</t>
  </si>
  <si>
    <t>Helyi önkorm.kieg. támogatása, szociális ellátások, közcélú foglalkoztatott</t>
  </si>
  <si>
    <t>Helyi önkormányzatok kiegészítő támogatása, közoktatási</t>
  </si>
  <si>
    <t>Központosított előirányzatok (komp. felúj, kisebbs önk. érdekeltségnöv.bérpol. Int.)</t>
  </si>
  <si>
    <t>normatív támogatás , feladatmutatóhoz kötött</t>
  </si>
  <si>
    <t>Normatív támogatások , lakosság számhoz kötött</t>
  </si>
  <si>
    <t>Önkormányzatok költségvetési támogatása</t>
  </si>
  <si>
    <t>Támogatások</t>
  </si>
  <si>
    <t>egyéb sajátos bevételek ( helyszini bírság, lakbér, helyiségbérlet)</t>
  </si>
  <si>
    <t>környezetvédelmi birság</t>
  </si>
  <si>
    <t xml:space="preserve">talajterhelési díj </t>
  </si>
  <si>
    <t>termőföld bérbeadásából származó jövedelmadó</t>
  </si>
  <si>
    <t xml:space="preserve">gépjármű adó </t>
  </si>
  <si>
    <t>jövedelem különbség mérséklése</t>
  </si>
  <si>
    <t>személyi jövedelem adó helyben maradó része</t>
  </si>
  <si>
    <t>pótlékok, bírságok</t>
  </si>
  <si>
    <t xml:space="preserve">Iparűzési adó (ideiglenes  jelleggel ) </t>
  </si>
  <si>
    <t xml:space="preserve">Iparűzési adó (állandó jelleggel ) </t>
  </si>
  <si>
    <t>magánszemélyek kommunális adója</t>
  </si>
  <si>
    <t>vállakozók kommunális adója megszünt</t>
  </si>
  <si>
    <t>építmény adó</t>
  </si>
  <si>
    <t>Önkormányzatok sajátos működési bevételei</t>
  </si>
  <si>
    <t>működési célú pénzeszközátvétel (Óvoda SZM támogatás)</t>
  </si>
  <si>
    <t>pénzügyi eszközök kamata, (árfolyamnyereség)</t>
  </si>
  <si>
    <t>kiszámlázott szolgáltatások áfája</t>
  </si>
  <si>
    <t>működéshez kapcsolódó áfa visszatérülés</t>
  </si>
  <si>
    <t xml:space="preserve">kötbér, bírság, kártérités </t>
  </si>
  <si>
    <t>infrastruktúra magán célú igénybevétele (telefon)</t>
  </si>
  <si>
    <t>bérleti díjbevételek ( helyiség bérlet, közterület használat)</t>
  </si>
  <si>
    <t>továbbszámlázott szolgáltatások (bérlők felé,  )</t>
  </si>
  <si>
    <t>szolgáltatások ellenértéke (műv.ház, könyvtár, eü kp., szemétdíj, sírhely.)</t>
  </si>
  <si>
    <t>hatósági, engedélyezési feladatok bevételi ( telephely eng., eljárási bírság)</t>
  </si>
  <si>
    <t xml:space="preserve">intézményi ellátási díjak </t>
  </si>
  <si>
    <t>Intézményi működési bevételek</t>
  </si>
  <si>
    <t>MŰKÖDÉSI BEVÉTELEK</t>
  </si>
  <si>
    <r>
      <t xml:space="preserve">Adony Város </t>
    </r>
    <r>
      <rPr>
        <b/>
        <sz val="14"/>
        <rFont val="Arial"/>
        <family val="2"/>
      </rPr>
      <t>Önkormányzat</t>
    </r>
    <r>
      <rPr>
        <b/>
        <sz val="10"/>
        <rFont val="Arial"/>
        <family val="2"/>
      </rPr>
      <t xml:space="preserve"> 2009. évi.  </t>
    </r>
    <r>
      <rPr>
        <b/>
        <sz val="14"/>
        <rFont val="Arial"/>
        <family val="2"/>
      </rPr>
      <t xml:space="preserve">működési </t>
    </r>
    <r>
      <rPr>
        <b/>
        <sz val="12"/>
        <rFont val="Arial"/>
        <family val="2"/>
      </rPr>
      <t>célú bevételei és kiadásai</t>
    </r>
  </si>
  <si>
    <t>1.oldal</t>
  </si>
  <si>
    <t>Kölcsön nyújtás első lakáshoz jutás tám. (3. melléklet 10.sor)</t>
  </si>
  <si>
    <t>Hiteltörlesztés 3.melléklet  (9. sor)</t>
  </si>
  <si>
    <t>Felhalmozási célú céltartalék</t>
  </si>
  <si>
    <t>Hiteltörlesztés (3.melléklet  9. sor)</t>
  </si>
  <si>
    <t>Felhalmozási célú általános tartalék</t>
  </si>
  <si>
    <t>Felhalmozási célú pénzeszköz átadás ÁHT-n kívülre (Gesztor)</t>
  </si>
  <si>
    <t>Felhalmozási célú pénzeszköz átadás ÁHT-n belülre (Kistérség)</t>
  </si>
  <si>
    <t>Önkormányzati beruházások áfája</t>
  </si>
  <si>
    <t>Önkormányzati beruházások</t>
  </si>
  <si>
    <t>Beruházási kiadások (8. melléklet részletezi)</t>
  </si>
  <si>
    <t>Önkormányzat felújítási kiadásai (9.melléklet részletezi)</t>
  </si>
  <si>
    <t>FELHALMOZÁSI KIADÁSOK ÖSSZESEN</t>
  </si>
  <si>
    <t>Előző évi - felhalmozási célú - pénzmaradvány</t>
  </si>
  <si>
    <t>Felhalmozási célú hitel (hosszú lejáratú)</t>
  </si>
  <si>
    <t>Központosított célelőirányzatból felhalmozási célú tám.</t>
  </si>
  <si>
    <t>Befektetési célú belföldi értékpapír kibocsátása</t>
  </si>
  <si>
    <t xml:space="preserve">Folyamatban lévő beruházások címzett és céltámogatása  </t>
  </si>
  <si>
    <t>Felhalmozási célú visszatérülések (első lakáshoz jutó támogatás törlesztése)</t>
  </si>
  <si>
    <t>Egyéb átvétel (lakossági hozzájárulás - Fogoly, Fürj, Fácán utcák)</t>
  </si>
  <si>
    <t xml:space="preserve">Fejezet kezelésű előirányzat (PH.akadályment.pály.2008.,  Könyvtár felújítás 2008. évi pályázat)             </t>
  </si>
  <si>
    <t>Átvett pénzeszközök felhalmozási célra</t>
  </si>
  <si>
    <t xml:space="preserve">Pénzügyi befektetések bevételei </t>
  </si>
  <si>
    <t>Egyéb felhalm. bevétel (belvíz kiviteli szerződés alapján)</t>
  </si>
  <si>
    <t>Államkötvények, egyéb értékpapírok értékesítése</t>
  </si>
  <si>
    <t>Vagyon hasznosítás bevételei</t>
  </si>
  <si>
    <t xml:space="preserve">Részvények, részesedések értékesítése </t>
  </si>
  <si>
    <t>Osztalék, üzemeltetési díjak (DRV eszközhaszn. díj)</t>
  </si>
  <si>
    <t xml:space="preserve">               DRV eszközhasználati díj </t>
  </si>
  <si>
    <t xml:space="preserve">               hulladék lerakó bérleti díj (Geszter) </t>
  </si>
  <si>
    <t xml:space="preserve">               szolgalmi jog M6</t>
  </si>
  <si>
    <t xml:space="preserve">    ebből: önkormányzati lakás értékesítés (Duna sor)</t>
  </si>
  <si>
    <t>Önkormányzatok sajátos felhalmozási és tőkebevételei (GESZTOR)</t>
  </si>
  <si>
    <t>Tárgyi eszközök, immateriális javak értékesítése ( föld terület is)</t>
  </si>
  <si>
    <t>Felhalmozási és tőke jellegű bevételek</t>
  </si>
  <si>
    <t xml:space="preserve">FELHALMOZÁSI BEVÉTELEK ÖSSZESEN </t>
  </si>
  <si>
    <t xml:space="preserve">Eredeti </t>
  </si>
  <si>
    <r>
      <t xml:space="preserve">Adony Város </t>
    </r>
    <r>
      <rPr>
        <b/>
        <sz val="14"/>
        <rFont val="Arial"/>
        <family val="2"/>
      </rPr>
      <t>Önkormányzat</t>
    </r>
    <r>
      <rPr>
        <b/>
        <sz val="10"/>
        <rFont val="Arial"/>
        <family val="2"/>
      </rPr>
      <t xml:space="preserve"> 2009. évi </t>
    </r>
    <r>
      <rPr>
        <b/>
        <sz val="14"/>
        <rFont val="Arial"/>
        <family val="2"/>
      </rPr>
      <t xml:space="preserve">felhalmozási </t>
    </r>
    <r>
      <rPr>
        <b/>
        <sz val="10"/>
        <rFont val="Arial"/>
        <family val="2"/>
      </rPr>
      <t xml:space="preserve">célú </t>
    </r>
    <r>
      <rPr>
        <b/>
        <sz val="14"/>
        <rFont val="Arial"/>
        <family val="2"/>
      </rPr>
      <t>bevételeiről és kiadásairól</t>
    </r>
  </si>
  <si>
    <t>3. melléklet a 7/2010. (IV.30.) önkormányzati rendelethez</t>
  </si>
  <si>
    <r>
      <t xml:space="preserve">Pénzforgalom nélküli bevételek </t>
    </r>
    <r>
      <rPr>
        <sz val="8"/>
        <rFont val="Arial"/>
        <family val="2"/>
      </rPr>
      <t>(előző években képzett tartalék)</t>
    </r>
  </si>
  <si>
    <r>
      <t xml:space="preserve">Hitelek felvétel, kötvény kibocsátás </t>
    </r>
    <r>
      <rPr>
        <sz val="8"/>
        <rFont val="Arial"/>
        <family val="2"/>
      </rPr>
      <t>(hosszú lejáratú hitel felvétel is)</t>
    </r>
  </si>
  <si>
    <r>
      <t xml:space="preserve">Hitelek felvétel </t>
    </r>
    <r>
      <rPr>
        <sz val="8"/>
        <rFont val="Arial"/>
        <family val="2"/>
      </rPr>
      <t>(rövid lejáratú)</t>
    </r>
  </si>
  <si>
    <r>
      <t xml:space="preserve">Támogatási kölcsönök visszatérülése,  </t>
    </r>
    <r>
      <rPr>
        <sz val="8"/>
        <rFont val="Arial"/>
        <family val="2"/>
      </rPr>
      <t>( első lakáshoz jut. tám. törlesztése)</t>
    </r>
  </si>
  <si>
    <t>Előző évi normatíva elszámolás normatív támogatás</t>
  </si>
  <si>
    <t xml:space="preserve">                              - közhasznú foglalkoztatás támogatása</t>
  </si>
  <si>
    <t xml:space="preserve">                              - településőr pályázat</t>
  </si>
  <si>
    <t xml:space="preserve">                              - kompetencia alapúoktatás pályázat </t>
  </si>
  <si>
    <t xml:space="preserve">           pályázatok: - védelmi felkészítés</t>
  </si>
  <si>
    <t xml:space="preserve">           közkincs hitelkamat támogatás</t>
  </si>
  <si>
    <t xml:space="preserve">           választások (népszavazás)</t>
  </si>
  <si>
    <r>
      <t xml:space="preserve">           </t>
    </r>
    <r>
      <rPr>
        <sz val="8"/>
        <rFont val="Arial"/>
        <family val="2"/>
      </rPr>
      <t>mozgáskorlátozottak támogatása</t>
    </r>
  </si>
  <si>
    <r>
      <t xml:space="preserve">       </t>
    </r>
    <r>
      <rPr>
        <sz val="8"/>
        <rFont val="Arial"/>
        <family val="2"/>
      </rPr>
      <t xml:space="preserve">    egyszeri gyermekvédelmi támogatás</t>
    </r>
  </si>
  <si>
    <t xml:space="preserve">           2008. évi jövedelem különbség mérséklés elszámolása</t>
  </si>
  <si>
    <t>Véglegesen átvett pénzeszközök , működési célra</t>
  </si>
  <si>
    <r>
      <t xml:space="preserve">Felhalmozási célú pénzeszköz átvétel </t>
    </r>
    <r>
      <rPr>
        <sz val="8"/>
        <rFont val="Arial"/>
        <family val="2"/>
      </rPr>
      <t>(3. mellékleten részletezve)</t>
    </r>
  </si>
  <si>
    <r>
      <t>Felhalmozási és tőke jellegű bevételek</t>
    </r>
    <r>
      <rPr>
        <sz val="8"/>
        <rFont val="Arial"/>
        <family val="2"/>
      </rPr>
      <t xml:space="preserve"> (3. mellékleten  részletezve)</t>
    </r>
  </si>
  <si>
    <r>
      <t xml:space="preserve">Támogatások: </t>
    </r>
    <r>
      <rPr>
        <sz val="8"/>
        <rFont val="Arial"/>
        <family val="2"/>
      </rPr>
      <t>Önkormányzatok költségvetési támogatása (2.melléklet  3 sorszámnál részletezve )</t>
    </r>
  </si>
  <si>
    <r>
      <t xml:space="preserve">Önkormányzatok sajátos működési bevételei </t>
    </r>
    <r>
      <rPr>
        <sz val="8"/>
        <rFont val="Arial"/>
        <family val="2"/>
      </rPr>
      <t>(2. melléklet  2 sorszámnál részletezve)</t>
    </r>
  </si>
  <si>
    <t>902113 Települési hulladékkezelés                  - szemétdíj</t>
  </si>
  <si>
    <t>902113 Települési hulladékkezelés GESZTOR  -áfa bevétel</t>
  </si>
  <si>
    <t xml:space="preserve">                                                                         - ÁFA bevétel</t>
  </si>
  <si>
    <t xml:space="preserve">                                                                         - egyéb bevétel ( továbbszálázott Rév vizellátási terv)   </t>
  </si>
  <si>
    <t xml:space="preserve">                                                                         - árfolyamnyereség, kötvény átváltásból származó</t>
  </si>
  <si>
    <t xml:space="preserve">                                                                         - kamat elszámolás</t>
  </si>
  <si>
    <t xml:space="preserve">                                                                         - bírság </t>
  </si>
  <si>
    <t xml:space="preserve">                                                                         - helyiség bérlet</t>
  </si>
  <si>
    <t xml:space="preserve">                                                                         - közterület használati díj</t>
  </si>
  <si>
    <t>751153 Önkormányzati igazgatási tev.:          - igazgatási szolgáltatás (építésügyi tev. Kulcs, eljárási bírság))</t>
  </si>
  <si>
    <t xml:space="preserve">751867 Temető fenntartás                               - továbbszámlázás, sírhely megváltás </t>
  </si>
  <si>
    <t>701015 Saját és bérelt ingatlan hasznosítása  - közmű továbbszámlázás</t>
  </si>
  <si>
    <t>reklám szerződések bevételei</t>
  </si>
  <si>
    <t>áfa bevételek ( közterület nem áfás )</t>
  </si>
  <si>
    <t>fénymásolás, fax,  hatósági díjak</t>
  </si>
  <si>
    <t>helyiség bérleti díjak, garázsbérlet</t>
  </si>
  <si>
    <t xml:space="preserve">közterület használati díjak </t>
  </si>
  <si>
    <t>lakossági szemétszállítási díj</t>
  </si>
  <si>
    <t xml:space="preserve">Kistérségi újság </t>
  </si>
  <si>
    <t>szennyvíztisztító telep környezetvédelmi bírság</t>
  </si>
  <si>
    <t>eszközhasználati díj áfája</t>
  </si>
  <si>
    <t>temető fenntartás, sírhely megváltás</t>
  </si>
  <si>
    <t xml:space="preserve">közműdíjak tovább számlázása </t>
  </si>
  <si>
    <t>Mezei őrszolgálat</t>
  </si>
  <si>
    <r>
      <t>Működési bevételek (</t>
    </r>
    <r>
      <rPr>
        <sz val="8"/>
        <color indexed="8"/>
        <rFont val="Arial"/>
        <family val="2"/>
      </rPr>
      <t xml:space="preserve">  Intézményi működési bevételek )</t>
    </r>
  </si>
  <si>
    <t>Bevételek</t>
  </si>
  <si>
    <r>
      <t xml:space="preserve">                                                                              2009. évi </t>
    </r>
    <r>
      <rPr>
        <b/>
        <sz val="10"/>
        <rFont val="Arial"/>
        <family val="2"/>
      </rPr>
      <t xml:space="preserve">bevételei </t>
    </r>
    <r>
      <rPr>
        <b/>
        <sz val="8"/>
        <rFont val="Arial"/>
        <family val="2"/>
      </rPr>
      <t xml:space="preserve">forrásonként                                                                      </t>
    </r>
    <r>
      <rPr>
        <sz val="8"/>
        <rFont val="Arial"/>
        <family val="2"/>
      </rPr>
      <t>ezer Ft-ban</t>
    </r>
  </si>
  <si>
    <r>
      <t xml:space="preserve">                                                                     Adony Város  Önkormányzat </t>
    </r>
    <r>
      <rPr>
        <b/>
        <sz val="10"/>
        <rFont val="Arial"/>
        <family val="2"/>
      </rPr>
      <t>Polgármesteri Hivatalának</t>
    </r>
  </si>
  <si>
    <r>
      <t xml:space="preserve">                                                                  4. melléklet  a   7/2010. (IV.30.) önkormányzati rendelethez                                                    </t>
    </r>
    <r>
      <rPr>
        <b/>
        <i/>
        <sz val="10"/>
        <rFont val="Arial"/>
        <family val="2"/>
      </rPr>
      <t xml:space="preserve">  </t>
    </r>
  </si>
  <si>
    <t>4. old</t>
  </si>
  <si>
    <t>Mindösszesen (1-5)</t>
  </si>
  <si>
    <t>751153 Speciális cálú támogatások</t>
  </si>
  <si>
    <t>751153 Tartalékalapok</t>
  </si>
  <si>
    <t>751153 Hitel visszafizetés</t>
  </si>
  <si>
    <t>751153 Egyéb pénzbeli juttatások ( csatorna 15%)</t>
  </si>
  <si>
    <t>751175 Országgyűlési képviselőválasztás</t>
  </si>
  <si>
    <t>751856 Települési vízellátás</t>
  </si>
  <si>
    <t>853311 Ellátottak juttatásai, szociál politikai juttatások</t>
  </si>
  <si>
    <t xml:space="preserve">926029 Máshova nem sorolható sport tevékenység </t>
  </si>
  <si>
    <t>902113 Települési hulladék gazdálkodás GESZTOR</t>
  </si>
  <si>
    <t>901113 Szennyvíz elvezetés</t>
  </si>
  <si>
    <t>902113 elepülési hulladék gazdálkodás</t>
  </si>
  <si>
    <t>852018 Állateü. szolgáltatás</t>
  </si>
  <si>
    <t>751878 Közvilágítás</t>
  </si>
  <si>
    <t>751867 Köztemető</t>
  </si>
  <si>
    <t xml:space="preserve">701015 Város és község gazdálkodás </t>
  </si>
  <si>
    <t>751845 Saját és bérelt ingatlanok hasznosítása</t>
  </si>
  <si>
    <t>631211 Utak, hidak fenntartása</t>
  </si>
  <si>
    <t>612 311 Rév közlekedés</t>
  </si>
  <si>
    <t xml:space="preserve">Egyéb feladatok szakfeladatonként:  </t>
  </si>
  <si>
    <t>első lakáshozjutók támogatása</t>
  </si>
  <si>
    <t>751153 Polgármesteri Hivatal (igazgatási) kiadásai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</si>
  <si>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</si>
  <si>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</si>
  <si>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</si>
  <si>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</si>
  <si>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</si>
  <si>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</si>
  <si>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</si>
  <si>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</si>
  <si>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</si>
  <si>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</si>
  <si>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</si>
  <si>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</si>
  <si>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tartalékok</t>
  </si>
  <si>
    <t>Beruházás</t>
  </si>
  <si>
    <t>Felújítás</t>
  </si>
  <si>
    <t>Összes kiadásból</t>
  </si>
  <si>
    <t>Önállóan működő és gazdálkodó költségvetési szervek / szakfeladat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</si>
  <si>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</si>
  <si>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</si>
  <si>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</si>
  <si>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</si>
  <si>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</si>
  <si>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</si>
  <si>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</si>
  <si>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</si>
  <si>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</si>
  <si>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</si>
  <si>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</si>
  <si>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</si>
  <si>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</si>
  <si>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(Önállóan működő és gazdálkodó költségvetési szervek)</t>
  </si>
  <si>
    <t>Adony Város Önkormányzat Polgármesteri Hivatal kiadásai</t>
  </si>
  <si>
    <t>5. melléklet  a 7/2010. (IV.30.) önkormányzati rendelethez</t>
  </si>
  <si>
    <t xml:space="preserve">751153 Speciális cálú támogatások </t>
  </si>
  <si>
    <t>926029 Máshova nem sorolható sport tevékenység VSK</t>
  </si>
  <si>
    <t>902113Települési hulladék GESZTOR</t>
  </si>
  <si>
    <t>901116 Szennyvíz elvezetés</t>
  </si>
  <si>
    <t>902113 Települési hulladék gazdálkodás</t>
  </si>
  <si>
    <t>851218 Állateü. szolgáltatás</t>
  </si>
  <si>
    <t>7561867 Köztemető</t>
  </si>
  <si>
    <t xml:space="preserve">751845 Város és község gazdálkodás </t>
  </si>
  <si>
    <t>701015 Saját és bérelt ingatlanok hasznosítása</t>
  </si>
  <si>
    <t>25.</t>
  </si>
  <si>
    <t>24.</t>
  </si>
  <si>
    <t>23.</t>
  </si>
  <si>
    <t>22.</t>
  </si>
  <si>
    <t>21.</t>
  </si>
  <si>
    <t>20.</t>
  </si>
  <si>
    <t>19.</t>
  </si>
  <si>
    <t>18.</t>
  </si>
  <si>
    <t>16.</t>
  </si>
  <si>
    <t>15.</t>
  </si>
  <si>
    <t>14.</t>
  </si>
  <si>
    <t>1.</t>
  </si>
  <si>
    <t>Ellátottak pénbeli jutatásai</t>
  </si>
  <si>
    <t>Dologi kiadások</t>
  </si>
  <si>
    <t>AB</t>
  </si>
  <si>
    <t>Z</t>
  </si>
  <si>
    <t>Y</t>
  </si>
  <si>
    <t>X</t>
  </si>
  <si>
    <t>W</t>
  </si>
  <si>
    <t>V</t>
  </si>
  <si>
    <t>U</t>
  </si>
  <si>
    <t>S</t>
  </si>
  <si>
    <t>R</t>
  </si>
  <si>
    <t>Q</t>
  </si>
  <si>
    <t>P</t>
  </si>
  <si>
    <t>O</t>
  </si>
  <si>
    <t>N</t>
  </si>
  <si>
    <t>2. oldal</t>
  </si>
  <si>
    <r>
      <t xml:space="preserve">Adony Város Önkormányzat </t>
    </r>
    <r>
      <rPr>
        <b/>
        <sz val="14"/>
        <rFont val="Arial"/>
        <family val="2"/>
      </rPr>
      <t>Polgármesteri Hivatal k</t>
    </r>
    <r>
      <rPr>
        <b/>
        <sz val="12"/>
        <rFont val="Arial"/>
        <family val="2"/>
      </rPr>
      <t>iadásai</t>
    </r>
  </si>
  <si>
    <t>751153 Seciális cálú támogatások</t>
  </si>
  <si>
    <t>751153 hitel visszafizetés</t>
  </si>
  <si>
    <t>751175 Országgyűlési képviselőválasztás (népszavazás)</t>
  </si>
  <si>
    <t xml:space="preserve">751856 Települési vízellátás </t>
  </si>
  <si>
    <t xml:space="preserve">926029 Máshova nem sorolható sport tev. VSK </t>
  </si>
  <si>
    <t>902115 Települési hulladék GESZTOR</t>
  </si>
  <si>
    <t>901116 Szennyvíz elvezetés (szennyviztelep)</t>
  </si>
  <si>
    <t>902115 Települési hulladék gazdálkodás (szemétszáll.)</t>
  </si>
  <si>
    <t xml:space="preserve">631211 Utak, hidak fenntartása </t>
  </si>
  <si>
    <t xml:space="preserve">751153 Polgármesteri Hivatal (igazgatási kiadásai) 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</si>
  <si>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</si>
  <si>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</si>
  <si>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</si>
  <si>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</si>
  <si>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</si>
  <si>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</si>
  <si>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</si>
  <si>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</si>
  <si>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</si>
  <si>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</si>
  <si>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</si>
  <si>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</si>
  <si>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Személyi juttatások</t>
  </si>
  <si>
    <t>Összes kiadás</t>
  </si>
  <si>
    <t>M</t>
  </si>
  <si>
    <t>L</t>
  </si>
  <si>
    <t>K</t>
  </si>
  <si>
    <t>J</t>
  </si>
  <si>
    <t>I</t>
  </si>
  <si>
    <t>H</t>
  </si>
  <si>
    <t>G</t>
  </si>
  <si>
    <t>F</t>
  </si>
  <si>
    <t>Kistérségi Társulás</t>
  </si>
  <si>
    <t>Kiadások összesen (1-4)</t>
  </si>
  <si>
    <t xml:space="preserve">hitel </t>
  </si>
  <si>
    <t>Céltartalék</t>
  </si>
  <si>
    <t xml:space="preserve">eseti pénzbeli ellátások </t>
  </si>
  <si>
    <t>rendszeres pénzbeli ellátások</t>
  </si>
  <si>
    <t xml:space="preserve">máshova nem sorolható sport tevékenység </t>
  </si>
  <si>
    <t xml:space="preserve">anya- és csecsemő védelem </t>
  </si>
  <si>
    <t>védőnői szolgálat</t>
  </si>
  <si>
    <t>családsegítő szolgálat</t>
  </si>
  <si>
    <t>szennyvíz elvezetés</t>
  </si>
  <si>
    <t>települési hulladék gazdálkodás</t>
  </si>
  <si>
    <t>állateü. szolgáltatás</t>
  </si>
  <si>
    <t>közvilágítás</t>
  </si>
  <si>
    <t>köztemető</t>
  </si>
  <si>
    <t xml:space="preserve">város és község gazdálkodás </t>
  </si>
  <si>
    <t>saját és bérelt ingatlanok hasznosítása</t>
  </si>
  <si>
    <t>utak, hidak fenntartása</t>
  </si>
  <si>
    <t>lapkiadás</t>
  </si>
  <si>
    <t>mezei őrszolgálat</t>
  </si>
  <si>
    <t>Rév közlekedés</t>
  </si>
  <si>
    <t>Egyéb feladatok szakfeladatonként:  (választás ktg)</t>
  </si>
  <si>
    <t>Polgármesteri Hivatal (igazgatási) kiadásai</t>
  </si>
  <si>
    <t>Tényleges</t>
  </si>
  <si>
    <t>Jóváhagyott</t>
  </si>
  <si>
    <t>telj./mód. előir.%-a</t>
  </si>
  <si>
    <t>fő</t>
  </si>
  <si>
    <t>Létszám</t>
  </si>
  <si>
    <t>Ellátottak pénzbeli juttatásai</t>
  </si>
  <si>
    <t>Ebből</t>
  </si>
  <si>
    <t>Önállóan gazdálkodó intézmény / szakfeladat</t>
  </si>
  <si>
    <t>Sor-sz.</t>
  </si>
  <si>
    <t>összesen:</t>
  </si>
  <si>
    <t>EÜ Központ összesen</t>
  </si>
  <si>
    <t>2008. évi pénzmaradvány</t>
  </si>
  <si>
    <t>851912 Anya és csecsemővéd.</t>
  </si>
  <si>
    <t>851297 Védőnői szolgálat</t>
  </si>
  <si>
    <t>851219 Házi orvosi szolgálat</t>
  </si>
  <si>
    <t xml:space="preserve">Kisebbségi Önkormányzatok összesen </t>
  </si>
  <si>
    <t xml:space="preserve">751 16-4 Német Kisebbségi Önk. </t>
  </si>
  <si>
    <t xml:space="preserve">KKKK összesen </t>
  </si>
  <si>
    <t>221 21-4 lapkiadás</t>
  </si>
  <si>
    <t xml:space="preserve">921 81-5 művelődési ház </t>
  </si>
  <si>
    <t>923 12-7 könyvtár</t>
  </si>
  <si>
    <t>általános iskola összesen</t>
  </si>
  <si>
    <t>801 22-5 sajátos nevelési igényű gyerm.</t>
  </si>
  <si>
    <t>924 03-6 diáksport</t>
  </si>
  <si>
    <t>552 32-3 iskolai étkeztetés</t>
  </si>
  <si>
    <t>751 76-8 iskola üzemeltetés</t>
  </si>
  <si>
    <t>801 31-3 művészet oktatás</t>
  </si>
  <si>
    <t>805 11-3 napközi ellátás</t>
  </si>
  <si>
    <t xml:space="preserve">801 21-4 iskolai oktatás </t>
  </si>
  <si>
    <t>óvoda összesen</t>
  </si>
  <si>
    <t>552 31-2 óvodai étkeztetés</t>
  </si>
  <si>
    <t xml:space="preserve">751 95-2 Közokt. Kiseg. tevékenység </t>
  </si>
  <si>
    <t xml:space="preserve">801 11-5 óvodai nevelés </t>
  </si>
  <si>
    <t>Összesen</t>
  </si>
  <si>
    <t>Átvett pénzeszközök</t>
  </si>
  <si>
    <t xml:space="preserve"> Saját bevételek</t>
  </si>
  <si>
    <t xml:space="preserve">önállóan működő  költségvetési szervek megnevezése </t>
  </si>
  <si>
    <t>e Ft-ban</t>
  </si>
  <si>
    <t xml:space="preserve"> önállóan működő költségvetési szervek 2009. évi bevételei</t>
  </si>
  <si>
    <t xml:space="preserve">Adony Város Önkormányzat </t>
  </si>
  <si>
    <t xml:space="preserve">                                                                Adony Város Önkormányzat </t>
  </si>
  <si>
    <t>6.  melléklet a   7/2010. (IV.30.) önkormányzati rendelethez</t>
  </si>
  <si>
    <t xml:space="preserve">3/a. számú melléklet </t>
  </si>
  <si>
    <t>részben önállóan gazdálkodó int. Összesen</t>
  </si>
  <si>
    <t>részben önállóan gazdálkodó int. összesen</t>
  </si>
  <si>
    <t>Egészségügyi Központ összesen</t>
  </si>
  <si>
    <t>851912 Anya és csecsemővédelem</t>
  </si>
  <si>
    <t>851297 védőnői szolgálat</t>
  </si>
  <si>
    <t>851219 Háziorvosi szolgálat</t>
  </si>
  <si>
    <t>Kisebbségi Önkormányzatok összesen</t>
  </si>
  <si>
    <t>751 16-4 Német kisebbségi Önk.</t>
  </si>
  <si>
    <t>751 16-4 Lengyel Kisebbségi Önk.</t>
  </si>
  <si>
    <t>KKKK összesen</t>
  </si>
  <si>
    <t>Általános Iskola összesen</t>
  </si>
  <si>
    <t>552 32-3 iskolai étkeztetés+ nyári étkeztetés</t>
  </si>
  <si>
    <t xml:space="preserve">801 31-3 művészet oktatás </t>
  </si>
  <si>
    <t>Óvoda összesen</t>
  </si>
  <si>
    <t>751 95-2 Közoktatást kisegítő tevékenység</t>
  </si>
  <si>
    <t>801 11-5 Óvodai nevelés</t>
  </si>
  <si>
    <t>45.</t>
  </si>
  <si>
    <t>44.</t>
  </si>
  <si>
    <t>43.</t>
  </si>
  <si>
    <t>42.</t>
  </si>
  <si>
    <t>41.</t>
  </si>
  <si>
    <t>40.</t>
  </si>
  <si>
    <t>39.</t>
  </si>
  <si>
    <t>38.</t>
  </si>
  <si>
    <t>17.</t>
  </si>
  <si>
    <t>össz.</t>
  </si>
  <si>
    <t>Mód.</t>
  </si>
  <si>
    <r>
      <t>Egyéb kiadás</t>
    </r>
    <r>
      <rPr>
        <sz val="8"/>
        <rFont val="Arial"/>
        <family val="2"/>
      </rPr>
      <t xml:space="preserve"> (átadott pénzeszközök)</t>
    </r>
  </si>
  <si>
    <t>Ellátottak pénzbeli juttatása</t>
  </si>
  <si>
    <t>Munkaadót terh. járulék</t>
  </si>
  <si>
    <r>
      <t xml:space="preserve">                                          összesen kiadásból                                                   </t>
    </r>
    <r>
      <rPr>
        <sz val="10"/>
        <color indexed="8"/>
        <rFont val="Arial"/>
        <family val="2"/>
      </rPr>
      <t xml:space="preserve"> </t>
    </r>
  </si>
  <si>
    <t xml:space="preserve"> részben önállóan gazdálkodó intézmények neve</t>
  </si>
  <si>
    <t>Sorszám</t>
  </si>
  <si>
    <t xml:space="preserve">                                                             összesen kiadásból                     </t>
  </si>
  <si>
    <t>összesen kiadásból</t>
  </si>
  <si>
    <t>Kiadások összesen</t>
  </si>
  <si>
    <t>önállóan működó költségvetési szervek  neve</t>
  </si>
  <si>
    <t>T</t>
  </si>
  <si>
    <t>Adony Város Önkormányzat önállóan működő költségvetési szervek  2009. évi kiadásai</t>
  </si>
  <si>
    <r>
      <t>Adony Város Önkormányzat önállóan működő költségvetési szervek</t>
    </r>
    <r>
      <rPr>
        <b/>
        <sz val="10"/>
        <rFont val="Arial"/>
        <family val="2"/>
      </rPr>
      <t xml:space="preserve">  2009. évi </t>
    </r>
    <r>
      <rPr>
        <b/>
        <sz val="14"/>
        <rFont val="Arial"/>
        <family val="2"/>
      </rPr>
      <t>kiadásai</t>
    </r>
  </si>
  <si>
    <t>7. melléklet a 7/2010. (IV.30.)önkormányzati  rendelethez</t>
  </si>
  <si>
    <t>3. oldal</t>
  </si>
  <si>
    <t>1. oldal</t>
  </si>
  <si>
    <t>első lakáshoz jutók támogatása</t>
  </si>
  <si>
    <t>hiteltörlesztés és fejlesztési hitel visszafizetés</t>
  </si>
  <si>
    <t>921815 összesen:</t>
  </si>
  <si>
    <t xml:space="preserve">     - komplett hangtechnika</t>
  </si>
  <si>
    <t xml:space="preserve">     - projektor állvány</t>
  </si>
  <si>
    <t xml:space="preserve"> érdeleltségnövelő támogatás</t>
  </si>
  <si>
    <t xml:space="preserve">     - fénymásoló</t>
  </si>
  <si>
    <t xml:space="preserve"> eredeti előirányzat - szám.technikai eszközök</t>
  </si>
  <si>
    <t>921815 Művelődés házak</t>
  </si>
  <si>
    <t>902113 összesen:</t>
  </si>
  <si>
    <t xml:space="preserve">  eredeti előirányzat - hulladéklerakó beruházás - Gesztor</t>
  </si>
  <si>
    <t>902113 Szemétszállítás-Gesztor</t>
  </si>
  <si>
    <t>851297 összesen:</t>
  </si>
  <si>
    <t xml:space="preserve">    - OFFICE 2007. porgram</t>
  </si>
  <si>
    <t xml:space="preserve">     - virusírtó programhoz</t>
  </si>
  <si>
    <t>851219 összesen:</t>
  </si>
  <si>
    <t xml:space="preserve">  eszközbeszerzés  ei.</t>
  </si>
  <si>
    <t xml:space="preserve">    - nyomtatók</t>
  </si>
  <si>
    <t xml:space="preserve">    - vírusirtó program </t>
  </si>
  <si>
    <t xml:space="preserve"> előző évi  pénzmaradvány</t>
  </si>
  <si>
    <t>801313 összesen:</t>
  </si>
  <si>
    <t xml:space="preserve">    - vadászkürt</t>
  </si>
  <si>
    <t xml:space="preserve">  alapfokú művészetoktatás pályázat</t>
  </si>
  <si>
    <t xml:space="preserve">    - fuvola - eszközfejlesztés</t>
  </si>
  <si>
    <t xml:space="preserve">    - nyomtató</t>
  </si>
  <si>
    <t xml:space="preserve">  eredeti előirányzat - számtechnikai eszk.</t>
  </si>
  <si>
    <t>801 313 Alapfokú művészetoktatás</t>
  </si>
  <si>
    <t>801214 összesen:</t>
  </si>
  <si>
    <t xml:space="preserve"> -  vizesblokk áfa</t>
  </si>
  <si>
    <t xml:space="preserve">  - projektor</t>
  </si>
  <si>
    <t xml:space="preserve">  - filces táblák</t>
  </si>
  <si>
    <t xml:space="preserve">  - HD TV</t>
  </si>
  <si>
    <t xml:space="preserve"> eszközfejlesztés - pályázat</t>
  </si>
  <si>
    <t xml:space="preserve">  - gyalugép</t>
  </si>
  <si>
    <t xml:space="preserve"> eredeti előirányzat - számtechn.eszk, gyalugép</t>
  </si>
  <si>
    <t xml:space="preserve">  - nyomtató</t>
  </si>
  <si>
    <t xml:space="preserve">  -  alaplap</t>
  </si>
  <si>
    <t xml:space="preserve">  -  telefon alközpont</t>
  </si>
  <si>
    <t xml:space="preserve">  -  telefon központ</t>
  </si>
  <si>
    <t xml:space="preserve">  -  Panasonic fax</t>
  </si>
  <si>
    <t xml:space="preserve">  előző évi pénzmaradvány felhasználás</t>
  </si>
  <si>
    <t>801 214 Általános iskolai oktatás</t>
  </si>
  <si>
    <t>%-a</t>
  </si>
  <si>
    <t>Feladat megnevezése</t>
  </si>
  <si>
    <t>Adony Város Önkormányzat  fejlesztési, beruházási kiadások teljesítésének alakulása 2009. évben</t>
  </si>
  <si>
    <t>8. melléklet a 7/2010. (IV.30.) önkormányzati rendelethez</t>
  </si>
  <si>
    <t>801115 összesen:</t>
  </si>
  <si>
    <t xml:space="preserve">   -  Whirpool mosógép</t>
  </si>
  <si>
    <t xml:space="preserve">   - notebook</t>
  </si>
  <si>
    <t xml:space="preserve"> eredeti előirányzat - ajtó, ablak csere</t>
  </si>
  <si>
    <t xml:space="preserve">   - programok vásárlása</t>
  </si>
  <si>
    <t xml:space="preserve"> előző évi pénzmaradvány</t>
  </si>
  <si>
    <t>801 115 Óvodai ellátás</t>
  </si>
  <si>
    <t>751845 összesen:</t>
  </si>
  <si>
    <t xml:space="preserve"> eredeti előirányzat - műv.ház előtti parkoló kialakítása</t>
  </si>
  <si>
    <t xml:space="preserve">  -  sövénynyíró</t>
  </si>
  <si>
    <t>751845 Város és községgazdálkodás</t>
  </si>
  <si>
    <t>751153 Összesen:</t>
  </si>
  <si>
    <t xml:space="preserve"> eredeti előirányzat - jármű vásárlás</t>
  </si>
  <si>
    <t xml:space="preserve">  - Egészségügyi központ előtti parkoló</t>
  </si>
  <si>
    <t xml:space="preserve">  - Canon fényképezőgép</t>
  </si>
  <si>
    <t xml:space="preserve">  - földmérő műszerek</t>
  </si>
  <si>
    <t xml:space="preserve">  - fénymásoló, papíradagoló</t>
  </si>
  <si>
    <t xml:space="preserve">  -  iratszekrények</t>
  </si>
  <si>
    <t xml:space="preserve">  -  8 db laptop</t>
  </si>
  <si>
    <t xml:space="preserve">  -  számítógép, tartozékok, szoftverek, szkenner</t>
  </si>
  <si>
    <t xml:space="preserve">  -  Hóvirág utcai járda</t>
  </si>
  <si>
    <t xml:space="preserve">  -  Piac téri tervek</t>
  </si>
  <si>
    <t xml:space="preserve">  -  Fürj, Fácán, Fogoly utcák vízellátása</t>
  </si>
  <si>
    <t xml:space="preserve">  -  iskola bővités kivitelez.</t>
  </si>
  <si>
    <t xml:space="preserve">  -  iskola telken belüli közmű kialakítás</t>
  </si>
  <si>
    <t xml:space="preserve">  -  iskola épületgépészet</t>
  </si>
  <si>
    <t xml:space="preserve">  -  egészségügyi központ akadálymentesítése</t>
  </si>
  <si>
    <t xml:space="preserve">  -  óvoda akadálymentesítése</t>
  </si>
  <si>
    <t xml:space="preserve">  -  polgármesteri hivatal akadálymentesítése</t>
  </si>
  <si>
    <t xml:space="preserve">  -  iskola bővítés építési engedélye</t>
  </si>
  <si>
    <t xml:space="preserve">  -  OKI bővítés engedélyezési tervek</t>
  </si>
  <si>
    <t xml:space="preserve">  -  polgármesteri hivatal bővítése</t>
  </si>
  <si>
    <t xml:space="preserve">  -  polgármesteri hivatal kiviteli tervek</t>
  </si>
  <si>
    <t xml:space="preserve">  -  tűzvédelmi terv</t>
  </si>
  <si>
    <t xml:space="preserve">   - számítógépek, monitorok, programok, </t>
  </si>
  <si>
    <t xml:space="preserve">   - informatikai program</t>
  </si>
  <si>
    <t xml:space="preserve"> előző évi pénzmaradvány </t>
  </si>
  <si>
    <t xml:space="preserve"> eredeti előirányzat - PH. bővítés,  önerő, beruh. tart.-ból beruh. </t>
  </si>
  <si>
    <t xml:space="preserve"> eredeti előirányzat - számítástechnikai fejlesztések</t>
  </si>
  <si>
    <t>751 153 Önkormányzatok igazgatási tevékenysége</t>
  </si>
  <si>
    <t>felhalmozási,fejleszt., beruh. kiad. feladatonként</t>
  </si>
  <si>
    <r>
      <t xml:space="preserve">Adony Város Önkormányzat  fejlesztési, </t>
    </r>
    <r>
      <rPr>
        <b/>
        <sz val="14"/>
        <rFont val="Arial"/>
        <family val="2"/>
      </rPr>
      <t>beruházási kiadások</t>
    </r>
    <r>
      <rPr>
        <b/>
        <sz val="10"/>
        <rFont val="Arial"/>
        <family val="2"/>
      </rPr>
      <t xml:space="preserve"> teljesítésének alakulása 2009. évben</t>
    </r>
  </si>
  <si>
    <t>901116 összesen:</t>
  </si>
  <si>
    <t xml:space="preserve"> épület felújítás (mosdó, ajtó)</t>
  </si>
  <si>
    <t>801214 Általános iskolai oktatás</t>
  </si>
  <si>
    <t xml:space="preserve"> kerítés, homokozó felújítás</t>
  </si>
  <si>
    <t>801115 Óvodai nevelés</t>
  </si>
  <si>
    <t xml:space="preserve"> művelődési ház színházterem felújítás</t>
  </si>
  <si>
    <t>921815 Művelődési Ház</t>
  </si>
  <si>
    <t>751153 összesen:</t>
  </si>
  <si>
    <t xml:space="preserve">        földmérő műszerek</t>
  </si>
  <si>
    <t xml:space="preserve">        Piac tér </t>
  </si>
  <si>
    <t xml:space="preserve">        Koller tér</t>
  </si>
  <si>
    <t xml:space="preserve">        Egészségügyi központ előtti parkoló </t>
  </si>
  <si>
    <t xml:space="preserve">        iskola felújítás - elektr.</t>
  </si>
  <si>
    <t xml:space="preserve">        polgármesteri hivatal  kialakítás - engedélyezési tervek</t>
  </si>
  <si>
    <t xml:space="preserve"> iskola infrastruktura</t>
  </si>
  <si>
    <t xml:space="preserve"> egészségház felújításhoz önerő</t>
  </si>
  <si>
    <t>751 153 Önkormányzatok igazgat. tevékenysége</t>
  </si>
  <si>
    <t>612311 összesen:</t>
  </si>
  <si>
    <t>komp felújítás</t>
  </si>
  <si>
    <t>612311 Kompok révek</t>
  </si>
  <si>
    <t>631211 összesen:</t>
  </si>
  <si>
    <t xml:space="preserve">        Zrínyi utcai járda</t>
  </si>
  <si>
    <t xml:space="preserve">járdaépítés </t>
  </si>
  <si>
    <t>631 211 Közutak, hidak</t>
  </si>
  <si>
    <t>Felújítások  feladatonként</t>
  </si>
  <si>
    <r>
      <t xml:space="preserve">Adony Város Önkormányzat ,  </t>
    </r>
    <r>
      <rPr>
        <b/>
        <sz val="14"/>
        <color indexed="8"/>
        <rFont val="Arial"/>
        <family val="2"/>
      </rPr>
      <t>felújítási kiadások</t>
    </r>
    <r>
      <rPr>
        <b/>
        <sz val="10"/>
        <color indexed="8"/>
        <rFont val="Arial"/>
        <family val="2"/>
      </rPr>
      <t xml:space="preserve"> teljesítésének alakulása 2009.évben</t>
    </r>
  </si>
  <si>
    <t>9. melléklet a 7/2010. (IV.30.) önkormányzati rendelethez</t>
  </si>
  <si>
    <t>FORRÁSOK (D+E+F)</t>
  </si>
  <si>
    <t>KÖTELEZETTSÉGEK ÖSSZESEN  (I+II+III)</t>
  </si>
  <si>
    <t>F)</t>
  </si>
  <si>
    <t>Egyéb passzív pénzügyi elszámolások  (21+….+24)</t>
  </si>
  <si>
    <t>III.</t>
  </si>
  <si>
    <t xml:space="preserve">  - Nemzetközi támogatási program deviza elszámolások</t>
  </si>
  <si>
    <t xml:space="preserve">  - költségvetésen kívüli letéti elszámolások</t>
  </si>
  <si>
    <t>Költségvetésen kívüli passzív pénzügyi elszámolások</t>
  </si>
  <si>
    <t>Költségvetési passzív kiegyenlítő elszámolások</t>
  </si>
  <si>
    <t>Költségvetési passzív átfutó elszámolások</t>
  </si>
  <si>
    <t>Költségvetési passzív függő elszámolások</t>
  </si>
  <si>
    <t>Rövid lejáratú kötelezettség  (17+…..+20)</t>
  </si>
  <si>
    <t>II.</t>
  </si>
  <si>
    <t xml:space="preserve">   - egyéb kötelezettségek</t>
  </si>
  <si>
    <t xml:space="preserve">   - beruházási, fejlesztési hitel köv. évi törlesztése</t>
  </si>
  <si>
    <t xml:space="preserve">   - helyi adó túlfizetése</t>
  </si>
  <si>
    <t xml:space="preserve">   - iparűzési adó feltöltés miatti kötelezettség</t>
  </si>
  <si>
    <t>Egyéb rövid lejáratú kötelezettség</t>
  </si>
  <si>
    <t xml:space="preserve">   - tárgyévet követő év szállítói kötelezettsége</t>
  </si>
  <si>
    <t xml:space="preserve">   - tárgyévi szállítói kötelezettség</t>
  </si>
  <si>
    <t>Kötelezettségek (szállító)</t>
  </si>
  <si>
    <t>Rövid lejáratú hitelek</t>
  </si>
  <si>
    <t>Rövid lejáratú kölcsönök</t>
  </si>
  <si>
    <t>Hosszú lejáratú kötelezettség (13+…..+16)</t>
  </si>
  <si>
    <t>I.</t>
  </si>
  <si>
    <t>Egyéb hosszú lejáratú kötelezettség</t>
  </si>
  <si>
    <t>Beruházási, fejlesztési hitel</t>
  </si>
  <si>
    <t>Tartozás fejl. c. kötvény kibocsátásból</t>
  </si>
  <si>
    <t>Hosszú lejáratú kölcsönök</t>
  </si>
  <si>
    <t>TARTALÉK ÖSSZESEN  (I+II)</t>
  </si>
  <si>
    <t>E)</t>
  </si>
  <si>
    <t>Vállalkozási tartalék összesen (9+…..+12)</t>
  </si>
  <si>
    <t>Vállalkozási tevékenység bevétel lemaradása</t>
  </si>
  <si>
    <t>Vállalkozási tevékenység kiadási megtakarítása</t>
  </si>
  <si>
    <t>Vállalkozási tevékenység eredménye</t>
  </si>
  <si>
    <t xml:space="preserve">   - előző évi vállalkozási tartalék</t>
  </si>
  <si>
    <t xml:space="preserve">   - tárgyévi vállalkozási tartalék</t>
  </si>
  <si>
    <t>Vállalkozási tartalék elszámolása</t>
  </si>
  <si>
    <t>Költségvetési tartalék összesen  (4+….+8)</t>
  </si>
  <si>
    <t>Előirányzat-maradvány</t>
  </si>
  <si>
    <t>Bevételi lemaradás</t>
  </si>
  <si>
    <t>Kiadási megtakarítás</t>
  </si>
  <si>
    <t>Költségvetési pénzmaradvány</t>
  </si>
  <si>
    <t xml:space="preserve">  - előző évi költségvetési tartalék</t>
  </si>
  <si>
    <t xml:space="preserve">  - tárgyévi költségvetési tartalék</t>
  </si>
  <si>
    <t>Költségvetési tartalék elszámolása</t>
  </si>
  <si>
    <t>SAJÁT TŐKE ÖSSZESEN (1+2+3)</t>
  </si>
  <si>
    <t>D)</t>
  </si>
  <si>
    <t>Értékesítési tartalék</t>
  </si>
  <si>
    <t>Tőkeváltozások</t>
  </si>
  <si>
    <t>Induló tőke</t>
  </si>
  <si>
    <t>Záró</t>
  </si>
  <si>
    <t>Nyitó</t>
  </si>
  <si>
    <t>FORRÁSOK</t>
  </si>
  <si>
    <t>Adony Város Önkormányzat vagyonmérlege 2009.  év december 31-én</t>
  </si>
  <si>
    <t>10. melléklet a 7/2010. (IV.30.) önkormányzati rendelethez</t>
  </si>
  <si>
    <t>ESZKÖZÖK ÖSSZESEN (A+B)</t>
  </si>
  <si>
    <t>FORGÓESZKÖZÖK ÖSSZESEN  (I+……+V)</t>
  </si>
  <si>
    <t>B)</t>
  </si>
  <si>
    <t>Egyéb aktív pénzügyi elszámolások  (35+….+38)</t>
  </si>
  <si>
    <t>V.</t>
  </si>
  <si>
    <t>Költségvetésen kívüli aktív kiegy. elszámolások</t>
  </si>
  <si>
    <t>Költségvetési aktív kiegyenlítő elszámolások</t>
  </si>
  <si>
    <t>Költségvetési aktív átfutó elszámolások</t>
  </si>
  <si>
    <t>Költségvetési aktív függő elszámolások</t>
  </si>
  <si>
    <t>Pénzeszközök összesen (31+….+34)</t>
  </si>
  <si>
    <t>IV.</t>
  </si>
  <si>
    <t>Idegen pénzeszközök</t>
  </si>
  <si>
    <t>Elszámolási számlák</t>
  </si>
  <si>
    <t>Költségvetési bankszámlák</t>
  </si>
  <si>
    <t>Pénztárak, csekkek, betétkönyvek</t>
  </si>
  <si>
    <t>Értékpapírok összesen  (29+30)</t>
  </si>
  <si>
    <t>Forgalmi célú hitelviszonyt megtestesítő értékpapírok</t>
  </si>
  <si>
    <t>Egyéb részesedés</t>
  </si>
  <si>
    <t>ESZKÖZÖK</t>
  </si>
  <si>
    <t>Követelések összesen  (25+…..+28)</t>
  </si>
  <si>
    <t xml:space="preserve">  - ebből a mérlegfordulónapot követő évbeli részlet </t>
  </si>
  <si>
    <t>Egyéb követelések</t>
  </si>
  <si>
    <t>Adósok</t>
  </si>
  <si>
    <t>Követelés áruszállításból (vevő)</t>
  </si>
  <si>
    <t>Készletek összesen  (20+…..+24/b)</t>
  </si>
  <si>
    <t>Követelés fejében átvett eszközök, készletek</t>
  </si>
  <si>
    <t>24/b</t>
  </si>
  <si>
    <t>Áruk, közvetített szolgáltatások</t>
  </si>
  <si>
    <t>24/a</t>
  </si>
  <si>
    <t>Késztermékek</t>
  </si>
  <si>
    <t>Növendék-, hízó- és egyéb állat</t>
  </si>
  <si>
    <t>Befejezetlen termékek, félkész termékek</t>
  </si>
  <si>
    <t>Anyagok</t>
  </si>
  <si>
    <t>BEFEKTETETT ESZKÖZÖK ÖSSZESEN (I.+……+IV/a)</t>
  </si>
  <si>
    <t>A)</t>
  </si>
  <si>
    <t>Üzem. átadott, vagyonk. átvett eszk. értékhely.</t>
  </si>
  <si>
    <t>IV/a.</t>
  </si>
  <si>
    <t>Üzemeltetésre átadott, vagyonk. átvett eszközök</t>
  </si>
  <si>
    <t>összesen (14+……+19)</t>
  </si>
  <si>
    <t xml:space="preserve">Befektetett pénzügyi eszközök </t>
  </si>
  <si>
    <t>Befektetett pénzeszközök értékhelyesbítése</t>
  </si>
  <si>
    <t>Egyéb hosszú lejáratú követelések</t>
  </si>
  <si>
    <t>Hosszú lejáratú bankbetétek</t>
  </si>
  <si>
    <t>Tartósan adott kölcsön</t>
  </si>
  <si>
    <t>Tartós hitelviszonyt megtestesítő értékpapír</t>
  </si>
  <si>
    <t>Egyéb tartós részesedés</t>
  </si>
  <si>
    <t>Tárgyi eszközök összesen (7+…..+13)</t>
  </si>
  <si>
    <t>Tárgyi eszközök értékhelyesbítése</t>
  </si>
  <si>
    <t>Beruházásra adott előlegek</t>
  </si>
  <si>
    <t xml:space="preserve">Beruházások, felújítások </t>
  </si>
  <si>
    <t>Tenyészállatok</t>
  </si>
  <si>
    <t>Járművek</t>
  </si>
  <si>
    <t>Gépek, berendezések, felszerelések</t>
  </si>
  <si>
    <t>Ingatlanok és a kapcsolódó vagyoni értékű jogok</t>
  </si>
  <si>
    <t>Immateriális javak összesen (1+….+6)</t>
  </si>
  <si>
    <t>Immateriális javak értékhelyesbítése</t>
  </si>
  <si>
    <t>Immateriális javakra adott előleg</t>
  </si>
  <si>
    <t>Szellemi termékek</t>
  </si>
  <si>
    <t>Vagyoni értékű jogok</t>
  </si>
  <si>
    <t>Kísérleti fejlesztés aktivált értéke</t>
  </si>
  <si>
    <t>Alapítás - átszervezés aktivált értéke</t>
  </si>
  <si>
    <r>
      <t xml:space="preserve">Adony Város Önkormányzat </t>
    </r>
    <r>
      <rPr>
        <b/>
        <sz val="14"/>
        <color indexed="8"/>
        <rFont val="Arial"/>
        <family val="2"/>
      </rPr>
      <t>vagyonmérlege</t>
    </r>
    <r>
      <rPr>
        <b/>
        <sz val="8"/>
        <color indexed="8"/>
        <rFont val="Arial"/>
        <family val="0"/>
      </rPr>
      <t xml:space="preserve"> 2009.  év december 31-én</t>
    </r>
  </si>
  <si>
    <t>KIADÁSOK ÖSSZESEN</t>
  </si>
  <si>
    <t>Egyéb fejlesztési célú kiadások</t>
  </si>
  <si>
    <t>Felújítási kiadások</t>
  </si>
  <si>
    <t>Beruházási kiadások</t>
  </si>
  <si>
    <t>Felhalmozási célú kiadások</t>
  </si>
  <si>
    <t>Támogatásértékű működési kiadás</t>
  </si>
  <si>
    <t>Működési célú pénzeszköz átadás</t>
  </si>
  <si>
    <t>Egyéb folyó kiadások</t>
  </si>
  <si>
    <t>Munkaadókat terhelő járulékok</t>
  </si>
  <si>
    <t>Működési kiadások</t>
  </si>
  <si>
    <t>Kiadások:</t>
  </si>
  <si>
    <t>BEVÉTELEK ÖSSZESEN</t>
  </si>
  <si>
    <t>Központi költségvetési támogatás</t>
  </si>
  <si>
    <t>Önkormányzati támogatás</t>
  </si>
  <si>
    <t>Támogatás</t>
  </si>
  <si>
    <t>Fejlesztési célra átvett pénzeszközök</t>
  </si>
  <si>
    <t>Támogatásértékű működési bevételek</t>
  </si>
  <si>
    <t>Működési célra átvett pénzeszközök</t>
  </si>
  <si>
    <t>Előző évi pénzmaradvány</t>
  </si>
  <si>
    <t>Vállalkozási bevételek</t>
  </si>
  <si>
    <t>Egyéb folyó bevétel</t>
  </si>
  <si>
    <t>Intézményi tevékenység bevételei</t>
  </si>
  <si>
    <t>Saját bevételek</t>
  </si>
  <si>
    <t>Bevételek:</t>
  </si>
  <si>
    <t>Előirányzat-csoport, kiemelt előirányzat megnevezése</t>
  </si>
  <si>
    <t>2009. évi költségvetésének alakulásáról</t>
  </si>
  <si>
    <r>
      <t xml:space="preserve"> a </t>
    </r>
    <r>
      <rPr>
        <b/>
        <sz val="14"/>
        <rFont val="Arial"/>
        <family val="2"/>
      </rPr>
      <t xml:space="preserve">Német </t>
    </r>
    <r>
      <rPr>
        <b/>
        <sz val="10"/>
        <rFont val="Arial"/>
        <family val="2"/>
      </rPr>
      <t>Kisebbségi Önkormányzat</t>
    </r>
  </si>
  <si>
    <t>11. melléklet a 7/2010.(IV.30.) önkormányzati  rendelethez</t>
  </si>
  <si>
    <t xml:space="preserve">           részesülő, valamint a 70 éven felüli egyedülálló személy</t>
  </si>
  <si>
    <t xml:space="preserve">***       mentes a rendszeres szociális segélyben, ápolási díjban, lakásfenntartási támogatásban, rendszeres gyermekvédelmi támogatásban </t>
  </si>
  <si>
    <t>**        építmény adó mentes a pince és a borospince</t>
  </si>
  <si>
    <t>*         70 évet betöltött személy, amennyiben az ingatlan kizárólagos tulajdonosa, vagy az ingatlan-nyilvántartásban bejegyzett vagyoni  joggal terhelt és annak gyakorlására jogosult</t>
  </si>
  <si>
    <t>összesen</t>
  </si>
  <si>
    <t>óvodai, iskolai étkeztetés</t>
  </si>
  <si>
    <t>talajterhelés***</t>
  </si>
  <si>
    <t>egyedül álló</t>
  </si>
  <si>
    <t>szemétszállítás</t>
  </si>
  <si>
    <t>építmény adó (önk. döntés)**</t>
  </si>
  <si>
    <t>iparűzési adó</t>
  </si>
  <si>
    <t>magánszemélyek kommunális adója*</t>
  </si>
  <si>
    <t>eFt</t>
  </si>
  <si>
    <t>összege  eFt</t>
  </si>
  <si>
    <t>mértéke %</t>
  </si>
  <si>
    <t>jogcíme (jellege)</t>
  </si>
  <si>
    <t>összege eFt</t>
  </si>
  <si>
    <t>Egyéb</t>
  </si>
  <si>
    <t>Adókedvezmény</t>
  </si>
  <si>
    <t>Adóelengedés</t>
  </si>
  <si>
    <t>A támogatás kedvezményezettje (csoportonként)</t>
  </si>
  <si>
    <t>Sor- sz.</t>
  </si>
  <si>
    <r>
      <t xml:space="preserve">Adony Város Önkormányzat   2009. évi </t>
    </r>
    <r>
      <rPr>
        <b/>
        <sz val="14"/>
        <rFont val="Arial"/>
        <family val="2"/>
      </rPr>
      <t>közvetett támogatásai</t>
    </r>
  </si>
  <si>
    <t>12. melléklet a 7/2010. (IV.30.) önkormányzati rendelethez</t>
  </si>
  <si>
    <t>Raiffeisen Bank</t>
  </si>
  <si>
    <t>Kamat: 6 havi LIBOR CHP + évi 2,5 % felár</t>
  </si>
  <si>
    <t>Kötvény</t>
  </si>
  <si>
    <t>2028.</t>
  </si>
  <si>
    <t>2008.</t>
  </si>
  <si>
    <r>
      <t xml:space="preserve">Tőke:                                       </t>
    </r>
    <r>
      <rPr>
        <b/>
        <sz val="8"/>
        <rFont val="Arial"/>
        <family val="2"/>
      </rPr>
      <t>500 000</t>
    </r>
  </si>
  <si>
    <t>Fejlesztési</t>
  </si>
  <si>
    <t>kamat: 3 havi euribor +2,5%</t>
  </si>
  <si>
    <t>Hosszúlejáratú hitel Közkincs (Művelődési ház)</t>
  </si>
  <si>
    <t>2026.</t>
  </si>
  <si>
    <t>2007.</t>
  </si>
  <si>
    <r>
      <t xml:space="preserve">Tőke:                                        </t>
    </r>
    <r>
      <rPr>
        <b/>
        <sz val="8"/>
        <rFont val="Arial"/>
        <family val="2"/>
      </rPr>
      <t>20 000</t>
    </r>
  </si>
  <si>
    <t>éve</t>
  </si>
  <si>
    <t>Lejárat</t>
  </si>
  <si>
    <t xml:space="preserve">Felvétel </t>
  </si>
  <si>
    <t>ezer forintban</t>
  </si>
  <si>
    <t>lejárat és eszközök szerinti bontásának 2009. december 31-i állapota</t>
  </si>
  <si>
    <r>
      <t xml:space="preserve">Adony Város  Önkormányzat által felvett </t>
    </r>
    <r>
      <rPr>
        <b/>
        <sz val="14"/>
        <rFont val="Arial"/>
        <family val="2"/>
      </rPr>
      <t>hitel és kötvényállomány</t>
    </r>
    <r>
      <rPr>
        <b/>
        <sz val="10"/>
        <rFont val="Arial"/>
        <family val="2"/>
      </rPr>
      <t xml:space="preserve">, </t>
    </r>
  </si>
  <si>
    <t>13. melléklet a 7/2010. (IV.30.) önkormányzati rendelethez</t>
  </si>
  <si>
    <t>9. számú melléklet</t>
  </si>
  <si>
    <t>247/2007.(XII.20.) Ök.sz.határozat: Park 2002 Bt.-vel szerződés kötés zöldfelületek gondozására - 2003. IV.1-től: I. és IV. negyedév 429.908,- Ft (áfás), II. és III. negyedév 409.208,- Ft (áfás). 2008.01.01-től bruttó 591.600,- Ft/hó</t>
  </si>
  <si>
    <t>263/2009. (XII.17.) Ök.sz.határozat: Fog-Adó '97 Kft-vel vállalkozási szerződés kötése Adony Város Honlapjának karbantartására és fejlesztésére. 2010.01.01-től határozatlan ideig, rendelkezésre állási díj bruttó 12.500,- Ft/hó</t>
  </si>
  <si>
    <t>13/2009. (I.29.) Kt.sz.határozat: jegyző utazással járó költségtérítése 2009. 02.01-től havi 55.000,- Ft</t>
  </si>
  <si>
    <t xml:space="preserve">189/2009. (IX.24.) Kt.sz.határozat: aljegyző költségtérítése 2009. 10.01-től havi 29.500,- Ft </t>
  </si>
  <si>
    <t>185/2009. (IX.24.) Kt.sz.határozat: dr. Margitics István ügyvédszerződés módosítása 2009.07.01-től bruttó 60.000 e Ft/hó (2005.I.1-től havi 50.000,- Ft)</t>
  </si>
  <si>
    <t>2011. év</t>
  </si>
  <si>
    <t>2010.év</t>
  </si>
  <si>
    <t>2009. év</t>
  </si>
  <si>
    <t>2008. év</t>
  </si>
  <si>
    <t xml:space="preserve">2007. év </t>
  </si>
  <si>
    <t xml:space="preserve">A döntés hatása </t>
  </si>
  <si>
    <t>A döntés, határozat száma és tartalma</t>
  </si>
  <si>
    <t xml:space="preserve">a többéves kihatással járó döntések kimutatása, évenkénti bontásban </t>
  </si>
  <si>
    <t>Adony Város Önkormányzata</t>
  </si>
  <si>
    <t>14. melléklet a 7/2010. (IV.30.) önkormányzati rendelethez</t>
  </si>
  <si>
    <t xml:space="preserve">87/2007. (V.24.) Kt.sz.határozat : Garami Júlia könyvvizsgálói megbízása   2007.05.01-től 2010. 04. 30-ig    (40.000,- Ft + áfa /hó összegben)                                                                                                                                </t>
  </si>
  <si>
    <t>Kötvény kibocsátás 117/2008. (VI.26.) K.t. határozat 500.000.000 forintnak megfelelő CHP névértékű kötvény kibocsátás   kamattörlesztése                                                (tőke törlesztés 2013-tól:  31 millió Ft)</t>
  </si>
  <si>
    <t xml:space="preserve">172/2007. (IX.27.) Kt. sz. határozat: háziorvosok 10 %-os munkáltatói hatáskörű béremelése </t>
  </si>
  <si>
    <t>170/2007. (IX.27.) Kt. határozat: Presszó és Pizzéria 2017-ig történő bérbeadása</t>
  </si>
  <si>
    <t xml:space="preserve">120/2006. (IX.21.) Kt. sz. határozat: 2006. november 1-től a háziorvosi feladatok önkormányzati működtetésbe kerültek vissza  ( köteles alapfeladat) önkormányzati támogatás mértéke </t>
  </si>
  <si>
    <t xml:space="preserve">118/2006. (VIII.31.) Kt. sz. határozat: az 1190. évi LXV.tv 36.§ (1) bekezdés előírásainak eleget téve kinevezésre került az aljegyző 2006. 09.01. hatállyal. </t>
  </si>
  <si>
    <t xml:space="preserve">94/2006.(VII.31.) Kt. sz. határozat : jelzőrendszeres házi segítségnyújtás térítési díja az önkormányzat által kerüljön finanszírozásra 11 fő esetében (430,- Ft/fő/hó) </t>
  </si>
  <si>
    <t xml:space="preserve">A 70/2006.(VI.29.) Kt. számú határozat: 2006. március 31-vel megszüntette a mezei őrszolgálatot, így nincs önkormányzati támogatásra szükség a felvállalt feladat ellátásának támogatására   </t>
  </si>
  <si>
    <t>Az igénybevett hitel a jegyzett kötvényből visszafizetésre került.</t>
  </si>
  <si>
    <t>hitelek visszafizetése , a kötvény terhére</t>
  </si>
  <si>
    <t xml:space="preserve">             kamatok </t>
  </si>
  <si>
    <t xml:space="preserve">             tőke törlesztés/2008.évtől ( 20 éves futamidő) </t>
  </si>
  <si>
    <t xml:space="preserve">A  15/2006. (II.23.) Kt. sza határozat:  250 millió Ft hosszúlejáratú hitel felvételével megvalósuló feladatok meghatározása : </t>
  </si>
  <si>
    <t xml:space="preserve">e Ft-ban </t>
  </si>
  <si>
    <t xml:space="preserve">             - szállítók felé kötelezettség</t>
  </si>
  <si>
    <t xml:space="preserve">             - adófeltöltésből adódó kötelezettség</t>
  </si>
  <si>
    <t xml:space="preserve">A 19. sorból - Kötelezettséggel terhelt pénzmaradvány </t>
  </si>
  <si>
    <t xml:space="preserve">               - intézményi céltartalékra</t>
  </si>
  <si>
    <t xml:space="preserve">               - dolgozók teljesítményértékelésére</t>
  </si>
  <si>
    <t>Önkormányzat igazgatási tervékenységét megillető pénzmaradvány</t>
  </si>
  <si>
    <t>Egészségügyi Központ</t>
  </si>
  <si>
    <t>Közösségi Kulturális Központ és Könyvtárat megillető pénzmaradvány</t>
  </si>
  <si>
    <t>Szent István Általános Iskolát megillető pénzmaradvány</t>
  </si>
  <si>
    <t xml:space="preserve"> Hóvirág Óvodát megillető pénzmaradvány</t>
  </si>
  <si>
    <t>Módosított pénzmaradvány (19+20+21) kötelezettséggel terhelt</t>
  </si>
  <si>
    <t>módosító tétel  (+ -)</t>
  </si>
  <si>
    <t>Költségvetési pénzmaradvány külön jogszabály  alapján</t>
  </si>
  <si>
    <t>ellátására felhasznált összeg</t>
  </si>
  <si>
    <t xml:space="preserve">Vállalkozási tevékenység eredményéből alaptevékenység </t>
  </si>
  <si>
    <t>Költségvetési pénzmaradvány (13+…..+18)</t>
  </si>
  <si>
    <t>Pénzmaradványt terhelő elvonások  (+ -)</t>
  </si>
  <si>
    <t>Költségvetési kiutalás kiutalatlan támogatás miatt (+ -)</t>
  </si>
  <si>
    <t>Költségvetési kiutalás kiutalatlan intézményi támogatás miatt (+ -)</t>
  </si>
  <si>
    <t xml:space="preserve">Költségvetési befizetés többlettámogatás miatt  (+ -)     </t>
  </si>
  <si>
    <t>Intézményi költségvetési befizetés többlettámogatás miatt (+ -)</t>
  </si>
  <si>
    <t>Tárgyévi helyesbített pénzmaradvány (3+10-11-12)</t>
  </si>
  <si>
    <t>Vállalkozási tevékenység pénzforgalmi eredménye</t>
  </si>
  <si>
    <t>Előző év(ek)ben képzett tartalékok maradványa  (-)</t>
  </si>
  <si>
    <t>(4+5+6+7+8+9)     (+ -)</t>
  </si>
  <si>
    <t>Egyéb aktív és passzív pénzügyi elszámolások összesen</t>
  </si>
  <si>
    <t>Passzív függő elszámolások záróegyenlege (-)</t>
  </si>
  <si>
    <t>Aktív függő elszámolások záróegyenlege</t>
  </si>
  <si>
    <t>Passzív átfutó elszámolások záróegyenlege (-)</t>
  </si>
  <si>
    <t>Költségvetési aktív átfutó elszámolások záróegyenlege</t>
  </si>
  <si>
    <t>Passzív kiegyenlítő elszámolások záróegyenlege   (-)</t>
  </si>
  <si>
    <t>Költségvetési aktív kiegyenlítő elszámolások záróegyenlege</t>
  </si>
  <si>
    <t>Záró pénzkészlet (1+2)</t>
  </si>
  <si>
    <t>Pénztárak és betétkönyvek záróegyenlegei</t>
  </si>
  <si>
    <t xml:space="preserve">Költségvetési bankszámlák záróegyenlegei </t>
  </si>
  <si>
    <t>Állomány</t>
  </si>
  <si>
    <t>sorszám</t>
  </si>
  <si>
    <r>
      <t>Adony Város Önkormányzat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pénzmaradványa</t>
    </r>
    <r>
      <rPr>
        <sz val="10"/>
        <rFont val="Arial"/>
        <family val="0"/>
      </rPr>
      <t xml:space="preserve"> 2009. évben</t>
    </r>
  </si>
  <si>
    <t xml:space="preserve">                                     15. melléklet a 7/2010. (IV.30.) önkormányzati  rendelethez</t>
  </si>
  <si>
    <t xml:space="preserve">        teljesítés:</t>
  </si>
  <si>
    <t xml:space="preserve">        módosított előirányzat:</t>
  </si>
  <si>
    <t xml:space="preserve"> megnevezés</t>
  </si>
  <si>
    <t>ebből:</t>
  </si>
  <si>
    <t xml:space="preserve">7. </t>
  </si>
  <si>
    <t xml:space="preserve">6. kötelezettségvállalással terhelt előirányzat </t>
  </si>
  <si>
    <t xml:space="preserve">maradványból az intézményt  nem illeti meg: </t>
  </si>
  <si>
    <t xml:space="preserve">maradvány(+), túllépés (-): </t>
  </si>
  <si>
    <t xml:space="preserve">5. </t>
  </si>
  <si>
    <t>4. gazdálkodási szabályok megsértéséből származó maradvány:</t>
  </si>
  <si>
    <t xml:space="preserve">    növekményből fel nem használt összeg:</t>
  </si>
  <si>
    <t>3. engedélyezett létszámnövekedéssel összefüggő előirányzat</t>
  </si>
  <si>
    <t>2. meghatározott célra rendelkezésre bocsátott összegek:</t>
  </si>
  <si>
    <t>1. végleges feladat elmaradás miatt:</t>
  </si>
  <si>
    <t xml:space="preserve">     40 % dolgozók tUSUSUSUSUSUSUSUSUSUSUSUS</t>
  </si>
  <si>
    <t xml:space="preserve">személyi juttatás maradványából  az intézményt megillető rész : </t>
  </si>
  <si>
    <t xml:space="preserve">személyi juttatások: </t>
  </si>
  <si>
    <t>pénzmaradvány kimutatása</t>
  </si>
  <si>
    <t xml:space="preserve">2007. évi </t>
  </si>
  <si>
    <t xml:space="preserve">Szent István Általános  Iskola és AMI </t>
  </si>
  <si>
    <r>
      <t>Z</t>
    </r>
    <r>
      <rPr>
        <sz val="10"/>
        <rFont val="Arial"/>
        <family val="0"/>
      </rPr>
      <t>áró pénzkészlet  (Z=Ny+BE-KI)</t>
    </r>
  </si>
  <si>
    <t xml:space="preserve">összesen </t>
  </si>
  <si>
    <t>Pénzforgalom nélküli tételek</t>
  </si>
  <si>
    <t xml:space="preserve">eltérések egyenlege: </t>
  </si>
  <si>
    <t xml:space="preserve">Pénzforgalmi tételek összesen </t>
  </si>
  <si>
    <t xml:space="preserve">kiegyenlítő, függő, átfutó tételek </t>
  </si>
  <si>
    <t xml:space="preserve">Kisebbségi Önkormányzat </t>
  </si>
  <si>
    <t xml:space="preserve">Polgármesteri Hivatal és szakfeladatai </t>
  </si>
  <si>
    <t xml:space="preserve">Egészségügyi Központ </t>
  </si>
  <si>
    <t xml:space="preserve">Közösség- Kulturális- Központ és Könyvtár </t>
  </si>
  <si>
    <r>
      <t>Gondozási Központ (</t>
    </r>
    <r>
      <rPr>
        <sz val="8"/>
        <rFont val="Arial"/>
        <family val="2"/>
      </rPr>
      <t>feladat átadás 2007.feb.1.)</t>
    </r>
  </si>
  <si>
    <t xml:space="preserve">Szent István Általános Iskola és AMI </t>
  </si>
  <si>
    <t xml:space="preserve">Hóvirág Óvoda </t>
  </si>
  <si>
    <r>
      <t>Ny</t>
    </r>
    <r>
      <rPr>
        <sz val="10"/>
        <rFont val="Arial"/>
        <family val="0"/>
      </rPr>
      <t xml:space="preserve">itó  pénzkészlet </t>
    </r>
  </si>
  <si>
    <t>túllépés</t>
  </si>
  <si>
    <t xml:space="preserve">maradvány  </t>
  </si>
  <si>
    <r>
      <t>Ki</t>
    </r>
    <r>
      <rPr>
        <sz val="8"/>
        <rFont val="Arial"/>
        <family val="2"/>
      </rPr>
      <t xml:space="preserve">adások </t>
    </r>
    <r>
      <rPr>
        <sz val="8"/>
        <rFont val="Arial"/>
        <family val="0"/>
      </rPr>
      <t xml:space="preserve">teljesítése </t>
    </r>
  </si>
  <si>
    <t xml:space="preserve">módosított  előirányzat </t>
  </si>
  <si>
    <t>bevételi többlet</t>
  </si>
  <si>
    <t xml:space="preserve">bevételi elmaradás </t>
  </si>
  <si>
    <r>
      <t>Be</t>
    </r>
    <r>
      <rPr>
        <sz val="8"/>
        <rFont val="Arial"/>
        <family val="2"/>
      </rPr>
      <t xml:space="preserve">vételek </t>
    </r>
    <r>
      <rPr>
        <sz val="8"/>
        <rFont val="Arial"/>
        <family val="0"/>
      </rPr>
      <t xml:space="preserve">teljesítése </t>
    </r>
  </si>
  <si>
    <t xml:space="preserve">eltérés </t>
  </si>
  <si>
    <t xml:space="preserve">Kiadások </t>
  </si>
  <si>
    <t xml:space="preserve">Bevételek </t>
  </si>
  <si>
    <t>Intézmények megnevezése</t>
  </si>
  <si>
    <t>2009.évi pénzmaradványa</t>
  </si>
  <si>
    <t xml:space="preserve"> az Önkormányzat intézményei és polgármesteri hivatalának </t>
  </si>
  <si>
    <t>16. melléklet a  7/2010.(IV.30.) önkormányzati rendelethez</t>
  </si>
  <si>
    <t xml:space="preserve">                 FORRÁSOK ÖSSZESEN                                                                </t>
  </si>
  <si>
    <t xml:space="preserve">                III. Egyéb passzív pénzügyi elszámolások                                         </t>
  </si>
  <si>
    <t xml:space="preserve">                 II. Rövid lejáratú kötelezettségek                                                       </t>
  </si>
  <si>
    <t xml:space="preserve">                  I. Hosszú lejáratú kötelezettségek</t>
  </si>
  <si>
    <t xml:space="preserve">                 F) KÖTELEZETTSÉGEK                                                                      </t>
  </si>
  <si>
    <t xml:space="preserve">                II. Vállalkozási tartalékok</t>
  </si>
  <si>
    <t xml:space="preserve">                 I. Költségvetési tartalékok                                                                   </t>
  </si>
  <si>
    <t xml:space="preserve">                 E) TARTALÉKOK                                                                                 </t>
  </si>
  <si>
    <t xml:space="preserve">                 3. Értékelési tartalék</t>
  </si>
  <si>
    <t xml:space="preserve">                 2.  Tőkeváltozások                                                                          </t>
  </si>
  <si>
    <t xml:space="preserve">                 1.  Induló Tőke</t>
  </si>
  <si>
    <t xml:space="preserve">                 D) SAJÁT TŐKE                                                                              </t>
  </si>
  <si>
    <t>Tárgyév auditált egyszerűsített beszámoló záró adatai</t>
  </si>
  <si>
    <t>Auditálási eltérések (±)</t>
  </si>
  <si>
    <t>Tárgyévi költségvetési beszámoló</t>
  </si>
  <si>
    <t>Előző év auditált egyszerűsített beszámoló záró adatai</t>
  </si>
  <si>
    <t>Előző évi költségvetési beszámoló záró adatai</t>
  </si>
  <si>
    <t>Adony Város  Önkormányzat egyszerűsített mérlege 2009.évben</t>
  </si>
  <si>
    <t>17. melléklet a 7/2010. (IV.30.) önkormányzati rendelethez</t>
  </si>
  <si>
    <t xml:space="preserve">                  ESZKÖZÖK ÖSSZESEN                                                                  </t>
  </si>
  <si>
    <t xml:space="preserve">                  V. Egyéb aktív pénzügyi elszámolások                                                </t>
  </si>
  <si>
    <t xml:space="preserve">                 IV. Pénzeszközök</t>
  </si>
  <si>
    <t xml:space="preserve">                 III. Értékpapírok</t>
  </si>
  <si>
    <t xml:space="preserve">                  II. Követelések</t>
  </si>
  <si>
    <t xml:space="preserve">                   I. Készletek</t>
  </si>
  <si>
    <t xml:space="preserve">                  B) FORGÓESZKÖZÖK                                                                                                                                                 </t>
  </si>
  <si>
    <t xml:space="preserve">                 IV. Üzemeltetésre, kezelésre átadott, koncesszióba adott eszközök                                                  </t>
  </si>
  <si>
    <t xml:space="preserve">                 III. Befektetett pénzügyi eszközök                                                          </t>
  </si>
  <si>
    <t xml:space="preserve">                  II. Tárgyi eszközök                                                                                </t>
  </si>
  <si>
    <t xml:space="preserve">                   I. Immateriális javak                                                                                  </t>
  </si>
  <si>
    <t xml:space="preserve">                 A) BEFEKTETETT ESZKÖZÖK                                                                   </t>
  </si>
  <si>
    <t>adatok e Ft-ban</t>
  </si>
  <si>
    <r>
      <t xml:space="preserve">Adony Város  Önkormányzat </t>
    </r>
    <r>
      <rPr>
        <b/>
        <sz val="14"/>
        <rFont val="Arial"/>
        <family val="2"/>
      </rPr>
      <t>egyszerűsített mérlege</t>
    </r>
    <r>
      <rPr>
        <b/>
        <sz val="10"/>
        <rFont val="Arial"/>
        <family val="2"/>
      </rPr>
      <t xml:space="preserve"> 2009.évben</t>
    </r>
  </si>
  <si>
    <t>Összesen (29+30)</t>
  </si>
  <si>
    <t>előző évben képzett tartalék maradványa (+)</t>
  </si>
  <si>
    <t>Bevételek összesen:</t>
  </si>
  <si>
    <t xml:space="preserve">Kiegyenlítő, függő, átfutó bevételek  ( - ) </t>
  </si>
  <si>
    <t>Pénzforgalom nélküli bevételek előző évi pénzmaradvány felhasználása</t>
  </si>
  <si>
    <t>Pénzforgalmi bevételek (22+23+24)</t>
  </si>
  <si>
    <t>Értékpapírok bevételei</t>
  </si>
  <si>
    <t>Hitelek, kölcsönök bevételei (első lakáshozjutók)</t>
  </si>
  <si>
    <t>Költségvetési pénzforgalmi bevételek összesen (16+17+18+20)</t>
  </si>
  <si>
    <t>Egyéb támogatások (előző évi norm.elsz.)</t>
  </si>
  <si>
    <t>Támogatások, kiegészítések és véglegesen átvett pénzeszközök</t>
  </si>
  <si>
    <t>Működési célú pénzeszköz átvétel</t>
  </si>
  <si>
    <t>Önkormányzatok sajátos működési bevétele</t>
  </si>
  <si>
    <t>Kiadások összesen (12+13+14)</t>
  </si>
  <si>
    <t xml:space="preserve">Kiegyenlítő, függő, átfutó kiadások ( -) </t>
  </si>
  <si>
    <t>Pénzforgalmi nélküli kiadások</t>
  </si>
  <si>
    <t>Pénzforgalmi kiadások (08+11)</t>
  </si>
  <si>
    <t>Finanszírozási kiadások összesen (09+10)</t>
  </si>
  <si>
    <t>Értékpapírok kiadásai</t>
  </si>
  <si>
    <t>Hitelek, kölcsönök kiadásai</t>
  </si>
  <si>
    <t>09.</t>
  </si>
  <si>
    <t>Költségvetési pénzforgalmi kiadások összesen (01+……+07)</t>
  </si>
  <si>
    <t>08.</t>
  </si>
  <si>
    <t>Felhalmozási kiadások, pénzügyi befektetések</t>
  </si>
  <si>
    <t>07.</t>
  </si>
  <si>
    <t>06.</t>
  </si>
  <si>
    <t>05.</t>
  </si>
  <si>
    <t>Végleges pénzeszközátadás, egyéb támogatás</t>
  </si>
  <si>
    <t>04.</t>
  </si>
  <si>
    <t>Dologi és egyéb folyó kiadások</t>
  </si>
  <si>
    <t>03.</t>
  </si>
  <si>
    <t>Munkaadókat terhelő járulék</t>
  </si>
  <si>
    <t>02.</t>
  </si>
  <si>
    <t>01.</t>
  </si>
  <si>
    <r>
      <t xml:space="preserve">Adony Város  Önkormányzat </t>
    </r>
    <r>
      <rPr>
        <b/>
        <sz val="14"/>
        <rFont val="Arial"/>
        <family val="2"/>
      </rPr>
      <t>egyszerűsített</t>
    </r>
    <r>
      <rPr>
        <b/>
        <sz val="10"/>
        <rFont val="Arial"/>
        <family val="2"/>
      </rPr>
      <t xml:space="preserve"> éves </t>
    </r>
    <r>
      <rPr>
        <b/>
        <sz val="14"/>
        <rFont val="Arial"/>
        <family val="2"/>
      </rPr>
      <t xml:space="preserve">pénzforgalmi kimutatása </t>
    </r>
    <r>
      <rPr>
        <b/>
        <sz val="10"/>
        <rFont val="Arial"/>
        <family val="2"/>
      </rPr>
      <t>2009. év</t>
    </r>
  </si>
  <si>
    <t>18. melléklet a 7/2010. (IV.30.) önkormányzati rendelethez</t>
  </si>
  <si>
    <t xml:space="preserve">Záró pénzkészlet:                  </t>
  </si>
  <si>
    <t xml:space="preserve">               pénzforgalom nélküli bevétel:            </t>
  </si>
  <si>
    <t xml:space="preserve">               Összesen:                             </t>
  </si>
  <si>
    <t xml:space="preserve">                kiadások:                </t>
  </si>
  <si>
    <t xml:space="preserve">                bevételek:                </t>
  </si>
  <si>
    <t xml:space="preserve">Nyitó pénzkészlet:                   </t>
  </si>
  <si>
    <t>Módosított pénzmaradvány (5±6±7±8±9)</t>
  </si>
  <si>
    <t>Költségvetési pénzmaradványt külön jogszabály alapján módosító tétel (±)</t>
  </si>
  <si>
    <t>A vállalkozási tevékenység eredményéből alaptevékenység ellátására felhasznált összeg</t>
  </si>
  <si>
    <r>
      <t xml:space="preserve">Költségvetési kiutalás kiutalatlan támogatás miatt  </t>
    </r>
    <r>
      <rPr>
        <b/>
        <sz val="8"/>
        <rFont val="Arial"/>
        <family val="2"/>
      </rPr>
      <t xml:space="preserve">( + ) </t>
    </r>
  </si>
  <si>
    <r>
      <t xml:space="preserve">költségvetési befizetés többlettámogatás miatt  </t>
    </r>
    <r>
      <rPr>
        <b/>
        <sz val="8"/>
        <rFont val="Arial"/>
        <family val="2"/>
      </rPr>
      <t>( - )</t>
    </r>
    <r>
      <rPr>
        <sz val="8"/>
        <rFont val="Arial"/>
        <family val="2"/>
      </rPr>
      <t xml:space="preserve"> </t>
    </r>
  </si>
  <si>
    <t>Tárgyévi helyesbített pénzmaradvány (1±2–3–4)</t>
  </si>
  <si>
    <t>Vállalkozási tevékenység pénzforgalmi eredménye (–)</t>
  </si>
  <si>
    <t>Előző év(ek)ben képzett tartalékok maradványa (–)</t>
  </si>
  <si>
    <r>
      <t xml:space="preserve">Egyéb aktív és passzív pénzügyi elszámolások összevont záró egyenlege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 - )</t>
    </r>
  </si>
  <si>
    <t>Záró pénzkészlet</t>
  </si>
  <si>
    <t>Adony Város  Önkormányzat egyszerűsített pénzmaradvány-kimutatása  2009. év</t>
  </si>
  <si>
    <t>19. melléklet a 7/2010.(IV.30.) önkormányzati rendelethez</t>
  </si>
  <si>
    <t>Az önkormányzat vállalkozási tevékenységet nem folytat.</t>
  </si>
  <si>
    <t>Tartalékba helyezhető összeg</t>
  </si>
  <si>
    <t>Vállalkozási tevékenységet terhelő befizetési kötelezettség</t>
  </si>
  <si>
    <t>Vállalkozási tevékenység helyesbített eredménye (7+8–9)</t>
  </si>
  <si>
    <t>Megelőző év(ek) el nem számolt veszteségének tárgyévre eső része</t>
  </si>
  <si>
    <t>Tárgyévről átvitt veszteség</t>
  </si>
  <si>
    <t>Vállalkozási tevékenység módosított pénzforgalmi eredménye (3–4–5±6)</t>
  </si>
  <si>
    <t>Pénzforgalmi eredményt külön jogszabály alapján módosító egyéb tétel (±)</t>
  </si>
  <si>
    <t>Alaptevékenység ellátására felhasznált és felhasználni tervezett eredmény (–)</t>
  </si>
  <si>
    <t>Vállalkozási tevékenységet terhelő értékcsökkenési leírás (–)</t>
  </si>
  <si>
    <t>Vállalkozási tevékenység pénzforgalmi eredménye (1–2)</t>
  </si>
  <si>
    <t>Vállalkozási tevékenység szakfeladaton elszámolt kiadásai (–)</t>
  </si>
  <si>
    <t>Vállalkozási tevékenység szakfeladaton elszámolt bevételei</t>
  </si>
  <si>
    <t>2009. évi</t>
  </si>
  <si>
    <t>Adony Város Önkormányzat egyszerűsített eredménykimutatása</t>
  </si>
  <si>
    <t>20. melléklet a 7/2010. (IV.30.) önkormányzati rendelethez</t>
  </si>
  <si>
    <t>*részletesebb kimutatás a pénzügyi csoportnál megtekinthető</t>
  </si>
  <si>
    <t xml:space="preserve">teljesen  ( 0-ig )leírt eszközök bruttó értéke </t>
  </si>
  <si>
    <t>ESZKÖZÖK NETTÓ ÉRTÉKE</t>
  </si>
  <si>
    <t>Folyamatban lévő beruházás</t>
  </si>
  <si>
    <t>NETTÓ ÉRTÉK</t>
  </si>
  <si>
    <t xml:space="preserve">értékcsökkenés összesen : </t>
  </si>
  <si>
    <t xml:space="preserve">           csökkenés </t>
  </si>
  <si>
    <t xml:space="preserve">           növekedés </t>
  </si>
  <si>
    <t xml:space="preserve">      tárgyévi nyitó állomány </t>
  </si>
  <si>
    <t xml:space="preserve">Értékcsökkenés: </t>
  </si>
  <si>
    <t xml:space="preserve">      forgalomképes ingatlanok </t>
  </si>
  <si>
    <t xml:space="preserve">      korlátozottan forgalom képes ingatlanok</t>
  </si>
  <si>
    <t xml:space="preserve">      forgalomképtelen ingatlanok</t>
  </si>
  <si>
    <t xml:space="preserve">      Szeméttelep (korl.forg.képes)</t>
  </si>
  <si>
    <t xml:space="preserve">      Vizi közmű (korl. forg. képes)</t>
  </si>
  <si>
    <t xml:space="preserve">      Német Kisebbségi Önkormányzat</t>
  </si>
  <si>
    <t xml:space="preserve">       KTV (korl. forg. képes)</t>
  </si>
  <si>
    <t xml:space="preserve">       Szennyvíztisztító telep (korl. forg. képes)</t>
  </si>
  <si>
    <t xml:space="preserve">       Gondozási Központ</t>
  </si>
  <si>
    <t xml:space="preserve">       Közösségi Kulturális Központ és Könyvtár</t>
  </si>
  <si>
    <t xml:space="preserve">       Szent István Általános Iskola </t>
  </si>
  <si>
    <t xml:space="preserve">       Hóvirág Óvoda</t>
  </si>
  <si>
    <t xml:space="preserve">       Polgármesteri Hivatal</t>
  </si>
  <si>
    <t xml:space="preserve">        Egészségügyi Központ</t>
  </si>
  <si>
    <t xml:space="preserve"> ebből:        </t>
  </si>
  <si>
    <t xml:space="preserve">bruttó érték összesen : </t>
  </si>
  <si>
    <t xml:space="preserve">     csökkenés</t>
  </si>
  <si>
    <t xml:space="preserve">     növekedés</t>
  </si>
  <si>
    <t xml:space="preserve">     tárgyévi nyitó állomány (előző évi záró )</t>
  </si>
  <si>
    <t xml:space="preserve">Bruttó érték: </t>
  </si>
  <si>
    <t>átadott eszközök</t>
  </si>
  <si>
    <t xml:space="preserve">kezelésre </t>
  </si>
  <si>
    <t>berendezések</t>
  </si>
  <si>
    <t>javak</t>
  </si>
  <si>
    <t xml:space="preserve">üzemeltetésre </t>
  </si>
  <si>
    <t>járművek</t>
  </si>
  <si>
    <t xml:space="preserve">gépek </t>
  </si>
  <si>
    <t>ingatlanok</t>
  </si>
  <si>
    <t>immateriális</t>
  </si>
  <si>
    <t>megnevezés</t>
  </si>
  <si>
    <t xml:space="preserve">                          2009. évi    immateriális javak , tárgyi eszközök és üzemeltetésre, kezelésre adott eszközök állományának alakulása</t>
  </si>
  <si>
    <t xml:space="preserve"> Adony Város Önkormányzat</t>
  </si>
  <si>
    <t xml:space="preserve">                                                              21. melléklet a ……/2010. (………….) önkormányzati rendelethez </t>
  </si>
  <si>
    <t xml:space="preserve">teljesen  ( 0-ig ) leírt eszközök bruttó értéke </t>
  </si>
  <si>
    <t>Nettó érték</t>
  </si>
  <si>
    <t xml:space="preserve">            Szeméttelep (korl.forg.képes)</t>
  </si>
  <si>
    <t xml:space="preserve">            Vizi közmű (korl. forg. képes)</t>
  </si>
  <si>
    <t xml:space="preserve">            Német Kisebbségi Önkormányzat</t>
  </si>
  <si>
    <t xml:space="preserve">            KTV (korl. forg. képes)</t>
  </si>
  <si>
    <t xml:space="preserve">            Szennyvíztisztító telep (korl. forg. képes)</t>
  </si>
  <si>
    <t xml:space="preserve">            Gondozási Központ</t>
  </si>
  <si>
    <t xml:space="preserve">            Közösségi Kulturális Központ és Könyvtár</t>
  </si>
  <si>
    <t xml:space="preserve">            Szent István Általános Iskola </t>
  </si>
  <si>
    <t xml:space="preserve">            Hóvirág Óvoda</t>
  </si>
  <si>
    <t xml:space="preserve">            Polgármesteri Hivatal</t>
  </si>
  <si>
    <t xml:space="preserve"> ebből: Egészségügyi Központ</t>
  </si>
  <si>
    <t>2009. évi immateriális javak, tárgyi eszközök és üzemeltetésre, kezelésre adott eszközök állománya</t>
  </si>
  <si>
    <t>Adony Város Önkormányzat</t>
  </si>
  <si>
    <t>21. melléklet a 7/2010. (IV.30.) önkormányzati rendelethez</t>
  </si>
  <si>
    <t xml:space="preserve">db </t>
  </si>
  <si>
    <t xml:space="preserve"> kötetek száma</t>
  </si>
  <si>
    <t>.02</t>
  </si>
  <si>
    <t>db</t>
  </si>
  <si>
    <t xml:space="preserve">könyvtárak száma </t>
  </si>
  <si>
    <t>.01</t>
  </si>
  <si>
    <t>923127 Közművelődési könyvtár</t>
  </si>
  <si>
    <t>művelődési házak száma</t>
  </si>
  <si>
    <t>921815 Művelődési házak száma</t>
  </si>
  <si>
    <t>eseti segélyezettek száma</t>
  </si>
  <si>
    <t>853355 Eseti gyermekvédelmi ellátás</t>
  </si>
  <si>
    <t>853344 Eseti pénzbeli szociális ellátások</t>
  </si>
  <si>
    <t>rendszeresen segélyezettek száma</t>
  </si>
  <si>
    <t>853333 Munkanélküli ellátás</t>
  </si>
  <si>
    <t>853322 Rendszeres gyermekvédelmi támogatás</t>
  </si>
  <si>
    <t>eset szám</t>
  </si>
  <si>
    <t>eseti segéyezettek száma</t>
  </si>
  <si>
    <t>853280 Eseti pénzbeli ellátások</t>
  </si>
  <si>
    <t xml:space="preserve">rendszeresen segélyezettek száma </t>
  </si>
  <si>
    <t>853279 Rendszeres pénzbeli ellátások</t>
  </si>
  <si>
    <t>egység</t>
  </si>
  <si>
    <t>mutató megnevezése</t>
  </si>
  <si>
    <t>s.sz.</t>
  </si>
  <si>
    <r>
      <t>02 teljesítméány mutat</t>
    </r>
    <r>
      <rPr>
        <sz val="10"/>
        <rFont val="Arial"/>
        <family val="0"/>
      </rPr>
      <t>ó</t>
    </r>
  </si>
  <si>
    <t>01 feladatmutató</t>
  </si>
  <si>
    <t xml:space="preserve">       szakfeladat száma és megnevezése </t>
  </si>
  <si>
    <t>853311 Rendszeres szociális pénzbeli ellátások</t>
  </si>
  <si>
    <t xml:space="preserve">ellátottak száma </t>
  </si>
  <si>
    <t xml:space="preserve">szolgálatok száma </t>
  </si>
  <si>
    <t xml:space="preserve">851219 Háziorvosi szolgálat </t>
  </si>
  <si>
    <t>tanuló csoport</t>
  </si>
  <si>
    <t>tanulók száma</t>
  </si>
  <si>
    <t>801225 Sajátos nevelési igényű tanuló</t>
  </si>
  <si>
    <t xml:space="preserve">tanulócsoportok száma </t>
  </si>
  <si>
    <t>tanulók létszáma</t>
  </si>
  <si>
    <t>805113 Napközi</t>
  </si>
  <si>
    <t xml:space="preserve">fő </t>
  </si>
  <si>
    <t xml:space="preserve">tanulók létszáma </t>
  </si>
  <si>
    <t xml:space="preserve">801313 Művészet oktatás </t>
  </si>
  <si>
    <t xml:space="preserve">801214 Iskolai oktatás </t>
  </si>
  <si>
    <t xml:space="preserve">férőhelyek száma </t>
  </si>
  <si>
    <t xml:space="preserve">nevelést igénylők létszáma </t>
  </si>
  <si>
    <t xml:space="preserve">801115 Óvodai nevelés </t>
  </si>
  <si>
    <t>nap/év</t>
  </si>
  <si>
    <t xml:space="preserve">élelmezési napok száma </t>
  </si>
  <si>
    <t xml:space="preserve">étkezési ellátottak száma </t>
  </si>
  <si>
    <t xml:space="preserve">552323 Iskolai intézményi étkezetetés </t>
  </si>
  <si>
    <t>552312 Óvodai intézményi étkeztetés</t>
  </si>
  <si>
    <t xml:space="preserve">      %</t>
  </si>
  <si>
    <r>
      <t>02 teljesítmény mutat</t>
    </r>
    <r>
      <rPr>
        <sz val="10"/>
        <rFont val="Arial"/>
        <family val="0"/>
      </rPr>
      <t>ó</t>
    </r>
  </si>
  <si>
    <r>
      <t xml:space="preserve">                                                                             2009.  évi feladat mutatók alakulása</t>
    </r>
    <r>
      <rPr>
        <b/>
        <sz val="10"/>
        <rFont val="Arial"/>
        <family val="2"/>
      </rPr>
      <t xml:space="preserve"> </t>
    </r>
  </si>
  <si>
    <t xml:space="preserve">                                                                                Adony  Város Önkormányzat </t>
  </si>
  <si>
    <t xml:space="preserve">                                                   22. melléklet  a ………/2010. (………) önkormányzati rendelethez </t>
  </si>
  <si>
    <t>2009. évi feladatmutatók alakulása</t>
  </si>
  <si>
    <t xml:space="preserve">                                        22. melléklet a 7/2010. (IV.30.) önkormányzati rendelethez</t>
  </si>
  <si>
    <t>02 teljesítmény mutató</t>
  </si>
  <si>
    <t>22. melléklet a 7/2010. (IV.30.) önkormányzati rendelethez</t>
  </si>
  <si>
    <t>eltérés:</t>
  </si>
  <si>
    <t>49-es űrlaphoz</t>
  </si>
  <si>
    <t>31-es űrlaphoz</t>
  </si>
  <si>
    <r>
      <t xml:space="preserve">    </t>
    </r>
    <r>
      <rPr>
        <b/>
        <sz val="7"/>
        <rFont val="Arial"/>
        <family val="2"/>
      </rPr>
      <t>évközbeni pótigénylés</t>
    </r>
  </si>
  <si>
    <r>
      <t xml:space="preserve">    </t>
    </r>
    <r>
      <rPr>
        <b/>
        <sz val="7"/>
        <rFont val="Arial"/>
        <family val="2"/>
      </rPr>
      <t>évközbeni normatíva lemondás</t>
    </r>
  </si>
  <si>
    <t>diáksport 4 hó</t>
  </si>
  <si>
    <t>diáksport 8 hó</t>
  </si>
  <si>
    <t>pedagógiai szakszolgálat 4 hó</t>
  </si>
  <si>
    <t>pedagógiai szakszolgálat 8 hó</t>
  </si>
  <si>
    <t>pedagógus továbbképzés 4 hó</t>
  </si>
  <si>
    <t>pedagógus továbbképzés 8 hó</t>
  </si>
  <si>
    <t xml:space="preserve">ingyenes tankönyv </t>
  </si>
  <si>
    <t>tankönyvellátáshoz hozzájárulás</t>
  </si>
  <si>
    <t>étkezési kedvezmény kiegészítő 5-6. oszt. 12 hó</t>
  </si>
  <si>
    <t>étkezési kedvezmény 12 hó</t>
  </si>
  <si>
    <t>pedagógiai módszerek támogatása képzőműv 4 hó</t>
  </si>
  <si>
    <t>pedagógiai módszerek támogatása képzőműv 8 hó</t>
  </si>
  <si>
    <t>pedagógiai módszerek támogatása zeneműv 4 hó</t>
  </si>
  <si>
    <t>pedagógiai módszerek támogatása zeneműv 8 hó</t>
  </si>
  <si>
    <t>kéttannyelvű oktatás 4 hó</t>
  </si>
  <si>
    <t>kéttannyelvű oktatás 8 hó</t>
  </si>
  <si>
    <t>gyógypedagógia súlyos  4 hó</t>
  </si>
  <si>
    <t>gyógypedagógiai súlyos 8 hó</t>
  </si>
  <si>
    <t>gyógypedagógia organikus 4 hó</t>
  </si>
  <si>
    <t>gyógypedagógia organikus 8 hó</t>
  </si>
  <si>
    <t xml:space="preserve">gyógypedagógia testi-érzékszervi fogyatékos 4 hó </t>
  </si>
  <si>
    <t xml:space="preserve">gyógypedagógia testi-érzékszervi fogyatékos 8 hó </t>
  </si>
  <si>
    <t xml:space="preserve">gyógypedagógiai magántanuló 4 hó </t>
  </si>
  <si>
    <t xml:space="preserve">gyógypedagógiai magántanuló 8 hó </t>
  </si>
  <si>
    <t>művészetoktatás képzőműv. csoportos minősitett 4 hó</t>
  </si>
  <si>
    <t>müvészetoktatás zenei egyéni minősitett 4 hó</t>
  </si>
  <si>
    <t>művészetoktatás képzőműv. csoportos minősitett 8 hó</t>
  </si>
  <si>
    <t>müvészetoktatás zenei egyéni minősitett 8 hó</t>
  </si>
  <si>
    <t>napközi 4 hó</t>
  </si>
  <si>
    <t>napközi 8 hó</t>
  </si>
  <si>
    <t>iskolai oktatás 4 hó 8. évfolyam</t>
  </si>
  <si>
    <t>iskolai oktatás 4 hó 7. évfolyam</t>
  </si>
  <si>
    <t>iskolai oktatás 4 hó 5-6. évfolyam</t>
  </si>
  <si>
    <t>iskolai oktatás 4 hó 4. évfolyam</t>
  </si>
  <si>
    <t>iskolai oktatás 3. évfolyam</t>
  </si>
  <si>
    <t>iskolai oktatás 4 hó 1-2. évfolyam</t>
  </si>
  <si>
    <t>iskolai oktatás 8 hó 7-8. évfolyam</t>
  </si>
  <si>
    <t>iskolai oktatás 8 hó 5-6. évfolyam</t>
  </si>
  <si>
    <t>iskolai oktatás 8 hó 4. évfolyam</t>
  </si>
  <si>
    <t>iskolai oktatás 8 hó 3. évfolyam</t>
  </si>
  <si>
    <t>iskolai oktatás 8 hó 1-2. évfolyam</t>
  </si>
  <si>
    <t>óvodai nevelés 1-3 nevelési év 4 hó</t>
  </si>
  <si>
    <t>óvódai nevelés 3 nevelési év 8 hó</t>
  </si>
  <si>
    <t>óvodai nevelés 1 -2 nevelési év 8 hó</t>
  </si>
  <si>
    <t>pénzbeli szociális juttatások</t>
  </si>
  <si>
    <t>közművelődési feladatok</t>
  </si>
  <si>
    <t>lakott külterülettel kapcsolatos feladatok</t>
  </si>
  <si>
    <t>épitésügyi kieg hozzájárulás</t>
  </si>
  <si>
    <t>építésügyi feladatok</t>
  </si>
  <si>
    <t>okmányiroda működési kiadások</t>
  </si>
  <si>
    <t>okmányiroda alaphozzájárulás</t>
  </si>
  <si>
    <t>települési sport feladatok</t>
  </si>
  <si>
    <t>települési önkormányzatok tömegközlekedési feladatai</t>
  </si>
  <si>
    <t>települési önkormányzat feladatai lakosságszám szerint</t>
  </si>
  <si>
    <t xml:space="preserve">        Ft</t>
  </si>
  <si>
    <t>mutató-szám</t>
  </si>
  <si>
    <t>telje-sítmény-mutató</t>
  </si>
  <si>
    <t>változás</t>
  </si>
  <si>
    <t>telje-sítménymutató</t>
  </si>
  <si>
    <t>mértéke forintban</t>
  </si>
  <si>
    <t xml:space="preserve">    2009. tényleges</t>
  </si>
  <si>
    <t>évközi</t>
  </si>
  <si>
    <t xml:space="preserve">    2009. évi tervezett</t>
  </si>
  <si>
    <t xml:space="preserve">hozzájárulás </t>
  </si>
  <si>
    <t>állami hozzájárulás jogcíme</t>
  </si>
  <si>
    <t xml:space="preserve">  a cél- és címzett támogatás, a központosított előirányzatok elszámolása  és a mutatószámok, feladatmutatók állományának alakulása        </t>
  </si>
  <si>
    <t xml:space="preserve">                                                    2009.  évi normatív, a normatív kötött felhasználású állami hozzájárulás, </t>
  </si>
  <si>
    <t xml:space="preserve">                                                                              Adony Város Önkormányzata </t>
  </si>
  <si>
    <t xml:space="preserve">                                                          23. melléklet   a ………/2010. (……………) önkormányzati rendelethez</t>
  </si>
  <si>
    <t>mutatószám</t>
  </si>
  <si>
    <t>teljesít-ménymu-tató</t>
  </si>
  <si>
    <t>a központosított előirányzatok elszámolása és a mutatószámok, feladatmutatók állományának alakulása</t>
  </si>
  <si>
    <t>A 2009. évi normatív, a normatív kötött felhasználású állami hozzájárulás, a cél- és címzett támogatás,</t>
  </si>
  <si>
    <t>23. melléklet a 7/2010. (IV.30.) önkormányzati rendelethez</t>
  </si>
  <si>
    <t xml:space="preserve">          hosszúlejáratú hitel köv. évi törlesztő részlete </t>
  </si>
  <si>
    <t xml:space="preserve">          ingatlan értékesítés</t>
  </si>
  <si>
    <t xml:space="preserve">          közterület</t>
  </si>
  <si>
    <t xml:space="preserve">          helyi adó túlfizetés</t>
  </si>
  <si>
    <t xml:space="preserve">          iparűzési adó feltöltés</t>
  </si>
  <si>
    <t xml:space="preserve">          mezőőri járulék</t>
  </si>
  <si>
    <t xml:space="preserve">          iskola étkezési térítési díj</t>
  </si>
  <si>
    <t xml:space="preserve">          óvoda étkezési térítési díj </t>
  </si>
  <si>
    <t xml:space="preserve">          lakbér</t>
  </si>
  <si>
    <t xml:space="preserve">          helyiség bérlet </t>
  </si>
  <si>
    <t xml:space="preserve">          garázs bérleti díj</t>
  </si>
  <si>
    <t xml:space="preserve">          lakossági szemétszállítási díj</t>
  </si>
  <si>
    <r>
      <t xml:space="preserve">      Egyéb rövid lejáratú kötelezettségek (20. sor. ) </t>
    </r>
    <r>
      <rPr>
        <sz val="8"/>
        <rFont val="Arial"/>
        <family val="2"/>
      </rPr>
      <t>(túlfiz)</t>
    </r>
  </si>
  <si>
    <r>
      <t xml:space="preserve">        </t>
    </r>
    <r>
      <rPr>
        <b/>
        <i/>
        <sz val="10"/>
        <rFont val="Arial"/>
        <family val="2"/>
      </rPr>
      <t xml:space="preserve">kötelezettségek árú szállításból ( 19.sor) </t>
    </r>
    <r>
      <rPr>
        <sz val="10"/>
        <rFont val="Arial"/>
        <family val="2"/>
      </rPr>
      <t>(szállítók)</t>
    </r>
  </si>
  <si>
    <r>
      <t xml:space="preserve">        </t>
    </r>
    <r>
      <rPr>
        <b/>
        <i/>
        <sz val="10"/>
        <rFont val="Arial"/>
        <family val="2"/>
      </rPr>
      <t xml:space="preserve">rövid lejáratú hitelek: </t>
    </r>
  </si>
  <si>
    <t xml:space="preserve">        hosszúlejáratú hitel , kötvény (15. sor)</t>
  </si>
  <si>
    <t>ebből :</t>
  </si>
  <si>
    <t>Kötelezettségek: (Források I. és II. )</t>
  </si>
  <si>
    <t xml:space="preserve">        önkormányzati lakás értékesítés (Duna sor )</t>
  </si>
  <si>
    <t xml:space="preserve">        csatorna  érdekeltségi hozzájárulás</t>
  </si>
  <si>
    <t xml:space="preserve">        első lakáshoz jutók támogatása</t>
  </si>
  <si>
    <t xml:space="preserve">  egyéb követelések (28.sor)</t>
  </si>
  <si>
    <t xml:space="preserve">        helyi adók</t>
  </si>
  <si>
    <t xml:space="preserve">        lakbér</t>
  </si>
  <si>
    <t xml:space="preserve">        helyiségbérlet</t>
  </si>
  <si>
    <t xml:space="preserve">        garázs bérlet  </t>
  </si>
  <si>
    <t xml:space="preserve">        haszonbér</t>
  </si>
  <si>
    <t xml:space="preserve">   adósok(26. sor)</t>
  </si>
  <si>
    <t xml:space="preserve">        gyermek étkeztetés óvoda</t>
  </si>
  <si>
    <t xml:space="preserve">        gyermek étkeztetés iskola</t>
  </si>
  <si>
    <t xml:space="preserve">        telekértékesítés </t>
  </si>
  <si>
    <t xml:space="preserve">         mezőőri járulék</t>
  </si>
  <si>
    <t xml:space="preserve">         magánszemélyek, kisvállalkozó.  továbbszáml. közműdíj</t>
  </si>
  <si>
    <t xml:space="preserve">        VERTIKÁL földbérleti díj  (Gesztor)</t>
  </si>
  <si>
    <t xml:space="preserve">         lakossági szemétszállítási díj </t>
  </si>
  <si>
    <t xml:space="preserve">  követelések árú szállításból és szolg. (vevők 25. sor)</t>
  </si>
  <si>
    <t>Követelések: ( Eszközök II. )</t>
  </si>
  <si>
    <t>2008. évi</t>
  </si>
  <si>
    <t xml:space="preserve">                        2009. évi a követelések és kötelezettségek állományának alakulása</t>
  </si>
  <si>
    <t xml:space="preserve">                                                 Adony Város Önkormányzata</t>
  </si>
  <si>
    <t xml:space="preserve">                       24. melléklet a ………/2010. (…………) önkormányzati rendelethez</t>
  </si>
  <si>
    <r>
      <t xml:space="preserve">      Egyéb rövid lejáratú kötelezettségek (10. melléklet 85. pont ) </t>
    </r>
    <r>
      <rPr>
        <sz val="8"/>
        <rFont val="Arial"/>
        <family val="2"/>
      </rPr>
      <t>(túlfiz)</t>
    </r>
  </si>
  <si>
    <r>
      <t xml:space="preserve">        </t>
    </r>
    <r>
      <rPr>
        <b/>
        <i/>
        <sz val="10"/>
        <rFont val="Arial"/>
        <family val="2"/>
      </rPr>
      <t xml:space="preserve">kötelezettségek árú szállításból ( 10. melléklet 82. pont) </t>
    </r>
    <r>
      <rPr>
        <sz val="10"/>
        <rFont val="Arial"/>
        <family val="2"/>
      </rPr>
      <t>(szállítók)</t>
    </r>
  </si>
  <si>
    <t xml:space="preserve">        hosszúlejáratú hitel, kötvény (10. melléklet 76. és 77. pont)</t>
  </si>
  <si>
    <t xml:space="preserve">  egyéb követelések (10. melléklet 37. pont)</t>
  </si>
  <si>
    <t xml:space="preserve">   adósok (10. melléklet 35. pont)</t>
  </si>
  <si>
    <t xml:space="preserve">  követelések árú szállításból és szolg. (10. melléklet 34. pont)</t>
  </si>
  <si>
    <t xml:space="preserve">                 2009. évi követelések és kötelezettségek állományának alakulása</t>
  </si>
  <si>
    <t xml:space="preserve">           Adony Város Önkormányzata</t>
  </si>
  <si>
    <t xml:space="preserve">                               24. melléklet a 7/2010. (IV.30.) önkormányzati rendelethez</t>
  </si>
  <si>
    <t>Bevételek összesen</t>
  </si>
  <si>
    <t>kiegyenlítő, függő, átfutó bevétele 1. melléklet 18. pont</t>
  </si>
  <si>
    <t>finanszírozás bevételei hitel felvétel 1. melléklet 12. és 13. pont</t>
  </si>
  <si>
    <t>pénzforgalom nélküli bevételek</t>
  </si>
  <si>
    <t>támogatási kölcsönök igénybevétele, visszatérülése 1. melléklet 10. pont</t>
  </si>
  <si>
    <t>felhalmozási célú pénzeszközátvétel 1. melléklet 9. pont</t>
  </si>
  <si>
    <t>felhalmozási bevételek 1. melléklet 8. pont</t>
  </si>
  <si>
    <t>működési célú támogatás 1. melléklet 5. pont</t>
  </si>
  <si>
    <t>működési célú pénzeszközátvétel 1. melléklet 6. pont</t>
  </si>
  <si>
    <t>önkorm. Sajátos működési bevétel 1. melléklet 4. pont</t>
  </si>
  <si>
    <t xml:space="preserve">működési bevételei 1. melléklet 3. pont </t>
  </si>
  <si>
    <t>hatáskörben</t>
  </si>
  <si>
    <t>intézményi</t>
  </si>
  <si>
    <t>felügyeleti szervi</t>
  </si>
  <si>
    <t>kormány</t>
  </si>
  <si>
    <t>ország-gyűlés</t>
  </si>
  <si>
    <t>teljesítés</t>
  </si>
  <si>
    <t>módosított</t>
  </si>
  <si>
    <t>előirányzat változások</t>
  </si>
  <si>
    <t xml:space="preserve">eredeti </t>
  </si>
  <si>
    <t xml:space="preserve">ezer Ft-ban </t>
  </si>
  <si>
    <t xml:space="preserve">  2009.  évi költségvetési előirányzatok   egyeztetése</t>
  </si>
  <si>
    <t xml:space="preserve">     Adony Város Önkormányzat </t>
  </si>
  <si>
    <t xml:space="preserve">25. melléklet a 7/2010. (IV.30.) önkormányzati  rendelethez </t>
  </si>
  <si>
    <t>Kiadás összesen</t>
  </si>
  <si>
    <t>kiegyenlítő, függő, átfutó kiadás 1. melléklet 36. pont</t>
  </si>
  <si>
    <t>pénzforgalom nélküli kiadások (tartalék) 1. melléklet 37. pont</t>
  </si>
  <si>
    <t>kölcsön nyújtása, törlesztése ( első lakáshoz jut.)1. melléklet 32. pont</t>
  </si>
  <si>
    <t>finanszírozási kiadás 1. melléklet 34. pont</t>
  </si>
  <si>
    <t>felújítás 1 melléklet 30. pont</t>
  </si>
  <si>
    <t>intézményi beruházási kiadások 1. melléklet 29. pont</t>
  </si>
  <si>
    <t xml:space="preserve">közmű fejlesztési támogatás </t>
  </si>
  <si>
    <t>egyéb pénzbeli juttatások 1. melléklet 26. pont</t>
  </si>
  <si>
    <t>rendszeres és eseti pénzbeli ellátások 1. melléklet  25. pont</t>
  </si>
  <si>
    <t>támogatásértékű működési kiadás 1. melléklet 27. pont</t>
  </si>
  <si>
    <t>kamatkiadás 1. melléklet 24. pont</t>
  </si>
  <si>
    <t>dologi kiadások 1. melléklet 24. pont</t>
  </si>
  <si>
    <t>munkaadókat terhelő juttatások 1 melléklet kiadások 23. pont</t>
  </si>
  <si>
    <t>személyi juttatások 1 melléklet  kiadások 22. pont</t>
  </si>
  <si>
    <t xml:space="preserve">                                                                                                         Adony Város Önkormányzat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</si>
  <si>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</si>
  <si>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összesen: </t>
  </si>
  <si>
    <t>rászorultságtól függő normatív kedvezmények</t>
  </si>
  <si>
    <t xml:space="preserve">rendkívüli gyermekvédelmi támogatás </t>
  </si>
  <si>
    <t>rendkívüli gyermekvédelmi támogatás (helyi megállapítás)</t>
  </si>
  <si>
    <t>közgyógy ellátás</t>
  </si>
  <si>
    <t>egyéb rászorultságtól függő ellátások ( átmeneti segélyek)</t>
  </si>
  <si>
    <t>ápolási díj,  méltányosságból (helyi megállapítás)</t>
  </si>
  <si>
    <t>ápolási díj , alanyi jogon (normatív)</t>
  </si>
  <si>
    <t>rendszeres gyermekvédelmi támogatás</t>
  </si>
  <si>
    <t>lakásfenntartási támogatás (normatív)</t>
  </si>
  <si>
    <t>rendszeres szociális segély egészségkárosodott sz.részére</t>
  </si>
  <si>
    <t>rendszeres szociális segély</t>
  </si>
  <si>
    <t xml:space="preserve">megnevezés </t>
  </si>
  <si>
    <t xml:space="preserve">                                                    önkormányzat által 2009. évben folyósított ellátások részletezése</t>
  </si>
  <si>
    <t xml:space="preserve">                                                                            Adony Város Önkormányzat</t>
  </si>
  <si>
    <t xml:space="preserve">                                          26. melléklet a 7/2010. (IV.30.) Önkormányzati rendelethez</t>
  </si>
  <si>
    <t>Mindösszesen:</t>
  </si>
  <si>
    <t>Pályakezdő alkalmazása</t>
  </si>
  <si>
    <t xml:space="preserve">Közhasznú foglalkoztatás </t>
  </si>
  <si>
    <t xml:space="preserve">Közcélú foglalkoztatás </t>
  </si>
  <si>
    <t>összesen :</t>
  </si>
  <si>
    <t>Gondozási Központ ( kistérségi feladatellátás)</t>
  </si>
  <si>
    <t>Városgazdálkodás</t>
  </si>
  <si>
    <t xml:space="preserve">Polgármesteri Hivatal </t>
  </si>
  <si>
    <t>Szent István Általános Iskola és AMI</t>
  </si>
  <si>
    <t>Közösségi- Kulturális- Központ és Könyvtár</t>
  </si>
  <si>
    <t>tényleges, főfoglalkozású létszám</t>
  </si>
  <si>
    <t xml:space="preserve">engedélyezett álláshelyek száma </t>
  </si>
  <si>
    <t xml:space="preserve">Intézmény megnevezése </t>
  </si>
  <si>
    <t>főben</t>
  </si>
  <si>
    <t>tárgyévi  dolgozói létszáma</t>
  </si>
  <si>
    <r>
      <rPr>
        <b/>
        <sz val="10"/>
        <rFont val="Arial"/>
        <family val="2"/>
      </rPr>
      <t xml:space="preserve"> Adony Önkormányzat</t>
    </r>
    <r>
      <rPr>
        <sz val="10"/>
        <rFont val="Arial"/>
        <family val="2"/>
      </rPr>
      <t xml:space="preserve"> Intézményei és Polgármesteri Hivatalának </t>
    </r>
  </si>
  <si>
    <t xml:space="preserve">27. melléklet a 7/2010. (IV.30.) önkormányzati rendelethez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</si>
</sst>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[$-40E]mmmm\ d\.;@"/>
  </numFmts>
  <fonts count="10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4"/>
      <color indexed="8"/>
      <name val="Arial"/>
      <family val="2"/>
    </font>
    <font>
      <i/>
      <sz val="12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0"/>
      <name val="Arial"/>
      <family val="2"/>
    </font>
    <font>
      <b/>
      <sz val="8"/>
      <color indexed="10"/>
      <name val="Arial CE"/>
      <family val="0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10"/>
      <name val="Arial"/>
      <family val="2"/>
    </font>
    <font>
      <sz val="7"/>
      <color indexed="10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 CE"/>
      <family val="0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>
      <alignment/>
      <protection/>
    </xf>
    <xf numFmtId="0" fontId="73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top"/>
    </xf>
    <xf numFmtId="164" fontId="6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 shrinkToFi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164" fontId="12" fillId="0" borderId="11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164" fontId="2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0" fillId="0" borderId="20" xfId="0" applyFont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4" fontId="6" fillId="33" borderId="33" xfId="0" applyNumberFormat="1" applyFont="1" applyFill="1" applyBorder="1" applyAlignment="1">
      <alignment horizontal="right"/>
    </xf>
    <xf numFmtId="164" fontId="6" fillId="33" borderId="34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164" fontId="6" fillId="34" borderId="39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4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9" xfId="0" applyFont="1" applyBorder="1" applyAlignment="1">
      <alignment horizontal="left"/>
    </xf>
    <xf numFmtId="2" fontId="2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50" xfId="0" applyBorder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2" fontId="15" fillId="0" borderId="2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3" fontId="2" fillId="0" borderId="15" xfId="42" applyFont="1" applyBorder="1" applyAlignment="1">
      <alignment horizontal="right"/>
    </xf>
    <xf numFmtId="165" fontId="2" fillId="0" borderId="14" xfId="42" applyNumberFormat="1" applyFont="1" applyBorder="1" applyAlignment="1">
      <alignment horizontal="right" vertical="center"/>
    </xf>
    <xf numFmtId="43" fontId="2" fillId="0" borderId="20" xfId="42" applyFont="1" applyBorder="1" applyAlignment="1">
      <alignment horizontal="right"/>
    </xf>
    <xf numFmtId="165" fontId="2" fillId="0" borderId="11" xfId="42" applyNumberFormat="1" applyFont="1" applyBorder="1" applyAlignment="1">
      <alignment horizontal="right" vertical="center"/>
    </xf>
    <xf numFmtId="43" fontId="6" fillId="0" borderId="20" xfId="42" applyFont="1" applyBorder="1" applyAlignment="1">
      <alignment horizontal="right"/>
    </xf>
    <xf numFmtId="165" fontId="2" fillId="0" borderId="11" xfId="42" applyNumberFormat="1" applyFont="1" applyBorder="1" applyAlignment="1">
      <alignment horizontal="left"/>
    </xf>
    <xf numFmtId="43" fontId="2" fillId="0" borderId="20" xfId="42" applyFont="1" applyBorder="1" applyAlignment="1">
      <alignment horizontal="center"/>
    </xf>
    <xf numFmtId="165" fontId="2" fillId="0" borderId="11" xfId="42" applyNumberFormat="1" applyFont="1" applyBorder="1" applyAlignment="1">
      <alignment/>
    </xf>
    <xf numFmtId="43" fontId="9" fillId="0" borderId="20" xfId="42" applyFont="1" applyBorder="1" applyAlignment="1">
      <alignment horizontal="right"/>
    </xf>
    <xf numFmtId="165" fontId="9" fillId="0" borderId="11" xfId="42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3" fontId="16" fillId="0" borderId="20" xfId="42" applyNumberFormat="1" applyFont="1" applyBorder="1" applyAlignment="1">
      <alignment horizontal="right"/>
    </xf>
    <xf numFmtId="164" fontId="16" fillId="0" borderId="11" xfId="0" applyNumberFormat="1" applyFont="1" applyBorder="1" applyAlignment="1">
      <alignment horizontal="right" vertical="center"/>
    </xf>
    <xf numFmtId="43" fontId="2" fillId="0" borderId="20" xfId="42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20" xfId="42" applyNumberFormat="1" applyFont="1" applyBorder="1" applyAlignment="1">
      <alignment/>
    </xf>
    <xf numFmtId="43" fontId="17" fillId="0" borderId="20" xfId="42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43" fontId="12" fillId="0" borderId="20" xfId="42" applyNumberFormat="1" applyFont="1" applyBorder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3" fontId="15" fillId="0" borderId="20" xfId="42" applyNumberFormat="1" applyFont="1" applyBorder="1" applyAlignment="1">
      <alignment/>
    </xf>
    <xf numFmtId="43" fontId="19" fillId="0" borderId="20" xfId="42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43" fontId="1" fillId="0" borderId="20" xfId="42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0" xfId="58">
      <alignment/>
      <protection/>
    </xf>
    <xf numFmtId="0" fontId="21" fillId="0" borderId="0" xfId="58" applyAlignment="1">
      <alignment horizontal="right"/>
      <protection/>
    </xf>
    <xf numFmtId="165" fontId="0" fillId="0" borderId="0" xfId="43" applyNumberFormat="1" applyFont="1" applyAlignment="1">
      <alignment/>
    </xf>
    <xf numFmtId="0" fontId="22" fillId="0" borderId="0" xfId="58" applyFont="1">
      <alignment/>
      <protection/>
    </xf>
    <xf numFmtId="2" fontId="23" fillId="33" borderId="15" xfId="58" applyNumberFormat="1" applyFont="1" applyFill="1" applyBorder="1" applyAlignment="1">
      <alignment horizontal="right"/>
      <protection/>
    </xf>
    <xf numFmtId="165" fontId="6" fillId="33" borderId="14" xfId="43" applyNumberFormat="1" applyFont="1" applyFill="1" applyBorder="1" applyAlignment="1">
      <alignment horizontal="right"/>
    </xf>
    <xf numFmtId="0" fontId="24" fillId="33" borderId="14" xfId="58" applyFont="1" applyFill="1" applyBorder="1" applyAlignment="1">
      <alignment horizontal="center"/>
      <protection/>
    </xf>
    <xf numFmtId="2" fontId="23" fillId="0" borderId="20" xfId="58" applyNumberFormat="1" applyFont="1" applyBorder="1" applyAlignment="1">
      <alignment horizontal="right"/>
      <protection/>
    </xf>
    <xf numFmtId="165" fontId="6" fillId="0" borderId="11" xfId="43" applyNumberFormat="1" applyFont="1" applyBorder="1" applyAlignment="1">
      <alignment/>
    </xf>
    <xf numFmtId="0" fontId="24" fillId="0" borderId="11" xfId="58" applyFont="1" applyBorder="1" applyAlignment="1">
      <alignment horizontal="center"/>
      <protection/>
    </xf>
    <xf numFmtId="165" fontId="2" fillId="0" borderId="11" xfId="43" applyNumberFormat="1" applyFont="1" applyBorder="1" applyAlignment="1">
      <alignment/>
    </xf>
    <xf numFmtId="165" fontId="25" fillId="0" borderId="20" xfId="43" applyNumberFormat="1" applyFont="1" applyBorder="1" applyAlignment="1">
      <alignment horizontal="right"/>
    </xf>
    <xf numFmtId="165" fontId="2" fillId="0" borderId="11" xfId="43" applyNumberFormat="1" applyFont="1" applyBorder="1" applyAlignment="1">
      <alignment horizontal="right"/>
    </xf>
    <xf numFmtId="2" fontId="25" fillId="0" borderId="20" xfId="58" applyNumberFormat="1" applyFont="1" applyBorder="1" applyAlignment="1">
      <alignment horizontal="right"/>
      <protection/>
    </xf>
    <xf numFmtId="165" fontId="25" fillId="0" borderId="11" xfId="43" applyNumberFormat="1" applyFont="1" applyBorder="1" applyAlignment="1">
      <alignment horizontal="right"/>
    </xf>
    <xf numFmtId="0" fontId="21" fillId="0" borderId="12" xfId="58" applyBorder="1">
      <alignment/>
      <protection/>
    </xf>
    <xf numFmtId="0" fontId="21" fillId="0" borderId="48" xfId="58" applyBorder="1">
      <alignment/>
      <protection/>
    </xf>
    <xf numFmtId="4" fontId="23" fillId="0" borderId="20" xfId="58" applyNumberFormat="1" applyFont="1" applyBorder="1" applyAlignment="1">
      <alignment horizontal="right"/>
      <protection/>
    </xf>
    <xf numFmtId="165" fontId="23" fillId="0" borderId="11" xfId="43" applyNumberFormat="1" applyFont="1" applyBorder="1" applyAlignment="1">
      <alignment horizontal="right"/>
    </xf>
    <xf numFmtId="0" fontId="21" fillId="0" borderId="11" xfId="58" applyBorder="1" applyAlignment="1">
      <alignment horizontal="center"/>
      <protection/>
    </xf>
    <xf numFmtId="0" fontId="23" fillId="0" borderId="20" xfId="58" applyFont="1" applyBorder="1" applyAlignment="1">
      <alignment horizontal="center" wrapText="1"/>
      <protection/>
    </xf>
    <xf numFmtId="0" fontId="23" fillId="0" borderId="11" xfId="58" applyFont="1" applyBorder="1" applyAlignment="1">
      <alignment horizontal="center"/>
      <protection/>
    </xf>
    <xf numFmtId="0" fontId="21" fillId="0" borderId="13" xfId="58" applyBorder="1" applyAlignment="1">
      <alignment horizontal="center"/>
      <protection/>
    </xf>
    <xf numFmtId="0" fontId="23" fillId="0" borderId="16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6" fillId="0" borderId="11" xfId="58" applyFont="1" applyBorder="1" applyAlignment="1">
      <alignment horizontal="center"/>
      <protection/>
    </xf>
    <xf numFmtId="0" fontId="21" fillId="0" borderId="19" xfId="58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" fontId="6" fillId="0" borderId="52" xfId="0" applyNumberFormat="1" applyFont="1" applyBorder="1" applyAlignment="1">
      <alignment/>
    </xf>
    <xf numFmtId="0" fontId="6" fillId="0" borderId="39" xfId="0" applyFont="1" applyBorder="1" applyAlignment="1">
      <alignment/>
    </xf>
    <xf numFmtId="2" fontId="6" fillId="0" borderId="39" xfId="0" applyNumberFormat="1" applyFont="1" applyBorder="1" applyAlignment="1">
      <alignment/>
    </xf>
    <xf numFmtId="0" fontId="6" fillId="0" borderId="53" xfId="0" applyFont="1" applyBorder="1" applyAlignment="1">
      <alignment/>
    </xf>
    <xf numFmtId="2" fontId="6" fillId="0" borderId="52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44" xfId="0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0" fontId="6" fillId="0" borderId="56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54" xfId="0" applyNumberFormat="1" applyFont="1" applyBorder="1" applyAlignment="1">
      <alignment/>
    </xf>
    <xf numFmtId="0" fontId="2" fillId="0" borderId="35" xfId="0" applyFont="1" applyBorder="1" applyAlignment="1">
      <alignment/>
    </xf>
    <xf numFmtId="2" fontId="2" fillId="0" borderId="49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1" fillId="0" borderId="44" xfId="0" applyFont="1" applyBorder="1" applyAlignment="1">
      <alignment/>
    </xf>
    <xf numFmtId="2" fontId="6" fillId="0" borderId="56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2" fillId="0" borderId="36" xfId="0" applyFont="1" applyBorder="1" applyAlignment="1">
      <alignment/>
    </xf>
    <xf numFmtId="0" fontId="6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90" fillId="33" borderId="52" xfId="0" applyNumberFormat="1" applyFont="1" applyFill="1" applyBorder="1" applyAlignment="1">
      <alignment/>
    </xf>
    <xf numFmtId="0" fontId="90" fillId="33" borderId="56" xfId="0" applyFont="1" applyFill="1" applyBorder="1" applyAlignment="1">
      <alignment/>
    </xf>
    <xf numFmtId="0" fontId="90" fillId="33" borderId="44" xfId="0" applyFont="1" applyFill="1" applyBorder="1" applyAlignment="1">
      <alignment/>
    </xf>
    <xf numFmtId="0" fontId="90" fillId="33" borderId="43" xfId="0" applyFont="1" applyFill="1" applyBorder="1" applyAlignment="1">
      <alignment/>
    </xf>
    <xf numFmtId="2" fontId="90" fillId="33" borderId="60" xfId="0" applyNumberFormat="1" applyFont="1" applyFill="1" applyBorder="1" applyAlignment="1">
      <alignment/>
    </xf>
    <xf numFmtId="0" fontId="90" fillId="33" borderId="53" xfId="0" applyFont="1" applyFill="1" applyBorder="1" applyAlignment="1">
      <alignment/>
    </xf>
    <xf numFmtId="0" fontId="90" fillId="33" borderId="39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6" fillId="33" borderId="44" xfId="0" applyFont="1" applyFill="1" applyBorder="1" applyAlignment="1">
      <alignment horizontal="left"/>
    </xf>
    <xf numFmtId="0" fontId="90" fillId="33" borderId="57" xfId="0" applyFont="1" applyFill="1" applyBorder="1" applyAlignment="1">
      <alignment/>
    </xf>
    <xf numFmtId="2" fontId="91" fillId="0" borderId="20" xfId="0" applyNumberFormat="1" applyFont="1" applyBorder="1" applyAlignment="1">
      <alignment/>
    </xf>
    <xf numFmtId="0" fontId="91" fillId="0" borderId="19" xfId="0" applyFont="1" applyBorder="1" applyAlignment="1">
      <alignment/>
    </xf>
    <xf numFmtId="0" fontId="91" fillId="0" borderId="36" xfId="0" applyFont="1" applyBorder="1" applyAlignment="1">
      <alignment/>
    </xf>
    <xf numFmtId="2" fontId="91" fillId="0" borderId="21" xfId="0" applyNumberFormat="1" applyFont="1" applyBorder="1" applyAlignment="1">
      <alignment/>
    </xf>
    <xf numFmtId="2" fontId="91" fillId="0" borderId="15" xfId="0" applyNumberFormat="1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61" xfId="0" applyFont="1" applyBorder="1" applyAlignment="1">
      <alignment/>
    </xf>
    <xf numFmtId="0" fontId="91" fillId="0" borderId="47" xfId="0" applyFont="1" applyBorder="1" applyAlignment="1">
      <alignment/>
    </xf>
    <xf numFmtId="2" fontId="91" fillId="0" borderId="62" xfId="0" applyNumberFormat="1" applyFont="1" applyBorder="1" applyAlignment="1">
      <alignment/>
    </xf>
    <xf numFmtId="0" fontId="91" fillId="0" borderId="48" xfId="0" applyFont="1" applyBorder="1" applyAlignment="1">
      <alignment/>
    </xf>
    <xf numFmtId="0" fontId="91" fillId="0" borderId="46" xfId="0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35" xfId="0" applyFont="1" applyBorder="1" applyAlignment="1">
      <alignment/>
    </xf>
    <xf numFmtId="0" fontId="91" fillId="0" borderId="42" xfId="0" applyFont="1" applyBorder="1" applyAlignment="1">
      <alignment/>
    </xf>
    <xf numFmtId="2" fontId="91" fillId="0" borderId="63" xfId="0" applyNumberFormat="1" applyFont="1" applyBorder="1" applyAlignment="1">
      <alignment/>
    </xf>
    <xf numFmtId="0" fontId="91" fillId="0" borderId="28" xfId="0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64" xfId="0" applyFont="1" applyBorder="1" applyAlignment="1">
      <alignment/>
    </xf>
    <xf numFmtId="0" fontId="2" fillId="0" borderId="29" xfId="0" applyFont="1" applyBorder="1" applyAlignment="1">
      <alignment/>
    </xf>
    <xf numFmtId="0" fontId="91" fillId="33" borderId="39" xfId="0" applyFont="1" applyFill="1" applyBorder="1" applyAlignment="1">
      <alignment/>
    </xf>
    <xf numFmtId="0" fontId="91" fillId="33" borderId="53" xfId="0" applyFont="1" applyFill="1" applyBorder="1" applyAlignment="1">
      <alignment/>
    </xf>
    <xf numFmtId="2" fontId="91" fillId="0" borderId="65" xfId="0" applyNumberFormat="1" applyFont="1" applyBorder="1" applyAlignment="1">
      <alignment/>
    </xf>
    <xf numFmtId="2" fontId="91" fillId="0" borderId="66" xfId="0" applyNumberFormat="1" applyFont="1" applyBorder="1" applyAlignment="1">
      <alignment/>
    </xf>
    <xf numFmtId="0" fontId="91" fillId="0" borderId="16" xfId="0" applyFont="1" applyBorder="1" applyAlignment="1">
      <alignment/>
    </xf>
    <xf numFmtId="0" fontId="91" fillId="0" borderId="67" xfId="0" applyFont="1" applyBorder="1" applyAlignment="1">
      <alignment/>
    </xf>
    <xf numFmtId="0" fontId="91" fillId="0" borderId="37" xfId="0" applyFont="1" applyBorder="1" applyAlignment="1">
      <alignment/>
    </xf>
    <xf numFmtId="2" fontId="6" fillId="33" borderId="68" xfId="0" applyNumberFormat="1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2" fontId="6" fillId="33" borderId="45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57" xfId="0" applyFont="1" applyFill="1" applyBorder="1" applyAlignment="1">
      <alignment/>
    </xf>
    <xf numFmtId="2" fontId="6" fillId="33" borderId="52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63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4" xfId="0" applyFont="1" applyBorder="1" applyAlignment="1">
      <alignment/>
    </xf>
    <xf numFmtId="2" fontId="2" fillId="0" borderId="69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7" xfId="0" applyFont="1" applyBorder="1" applyAlignment="1">
      <alignment/>
    </xf>
    <xf numFmtId="0" fontId="91" fillId="0" borderId="54" xfId="0" applyFont="1" applyBorder="1" applyAlignment="1">
      <alignment/>
    </xf>
    <xf numFmtId="0" fontId="91" fillId="0" borderId="38" xfId="0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7" xfId="0" applyFont="1" applyBorder="1" applyAlignment="1">
      <alignment/>
    </xf>
    <xf numFmtId="2" fontId="2" fillId="0" borderId="68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92" fillId="0" borderId="19" xfId="0" applyFont="1" applyBorder="1" applyAlignment="1">
      <alignment/>
    </xf>
    <xf numFmtId="0" fontId="2" fillId="0" borderId="4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1" xfId="0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71" xfId="0" applyFont="1" applyBorder="1" applyAlignment="1">
      <alignment/>
    </xf>
    <xf numFmtId="0" fontId="90" fillId="0" borderId="52" xfId="0" applyFont="1" applyBorder="1" applyAlignment="1">
      <alignment/>
    </xf>
    <xf numFmtId="0" fontId="90" fillId="0" borderId="39" xfId="0" applyFont="1" applyBorder="1" applyAlignment="1">
      <alignment/>
    </xf>
    <xf numFmtId="2" fontId="90" fillId="0" borderId="39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90" fillId="0" borderId="43" xfId="0" applyFont="1" applyBorder="1" applyAlignment="1">
      <alignment/>
    </xf>
    <xf numFmtId="0" fontId="90" fillId="0" borderId="44" xfId="0" applyFont="1" applyBorder="1" applyAlignment="1">
      <alignment/>
    </xf>
    <xf numFmtId="0" fontId="90" fillId="0" borderId="57" xfId="0" applyFont="1" applyBorder="1" applyAlignment="1">
      <alignment/>
    </xf>
    <xf numFmtId="0" fontId="90" fillId="0" borderId="56" xfId="0" applyFont="1" applyBorder="1" applyAlignment="1">
      <alignment/>
    </xf>
    <xf numFmtId="2" fontId="90" fillId="0" borderId="52" xfId="0" applyNumberFormat="1" applyFont="1" applyBorder="1" applyAlignment="1">
      <alignment/>
    </xf>
    <xf numFmtId="0" fontId="90" fillId="0" borderId="53" xfId="0" applyFont="1" applyBorder="1" applyAlignment="1">
      <alignment/>
    </xf>
    <xf numFmtId="2" fontId="90" fillId="0" borderId="45" xfId="0" applyNumberFormat="1" applyFont="1" applyBorder="1" applyAlignment="1">
      <alignment/>
    </xf>
    <xf numFmtId="0" fontId="90" fillId="0" borderId="39" xfId="0" applyFont="1" applyBorder="1" applyAlignment="1">
      <alignment wrapText="1"/>
    </xf>
    <xf numFmtId="0" fontId="90" fillId="0" borderId="57" xfId="0" applyFont="1" applyBorder="1" applyAlignment="1">
      <alignment wrapText="1"/>
    </xf>
    <xf numFmtId="0" fontId="2" fillId="0" borderId="38" xfId="0" applyFont="1" applyBorder="1" applyAlignment="1">
      <alignment horizontal="center" vertical="top"/>
    </xf>
    <xf numFmtId="2" fontId="90" fillId="33" borderId="68" xfId="0" applyNumberFormat="1" applyFont="1" applyFill="1" applyBorder="1" applyAlignment="1">
      <alignment/>
    </xf>
    <xf numFmtId="0" fontId="90" fillId="33" borderId="32" xfId="0" applyFont="1" applyFill="1" applyBorder="1" applyAlignment="1">
      <alignment/>
    </xf>
    <xf numFmtId="2" fontId="90" fillId="33" borderId="32" xfId="0" applyNumberFormat="1" applyFont="1" applyFill="1" applyBorder="1" applyAlignment="1">
      <alignment/>
    </xf>
    <xf numFmtId="2" fontId="90" fillId="33" borderId="33" xfId="0" applyNumberFormat="1" applyFont="1" applyFill="1" applyBorder="1" applyAlignment="1">
      <alignment/>
    </xf>
    <xf numFmtId="0" fontId="90" fillId="33" borderId="68" xfId="0" applyFont="1" applyFill="1" applyBorder="1" applyAlignment="1">
      <alignment/>
    </xf>
    <xf numFmtId="2" fontId="90" fillId="33" borderId="39" xfId="0" applyNumberFormat="1" applyFont="1" applyFill="1" applyBorder="1" applyAlignment="1">
      <alignment/>
    </xf>
    <xf numFmtId="0" fontId="90" fillId="33" borderId="56" xfId="0" applyFont="1" applyFill="1" applyBorder="1" applyAlignment="1">
      <alignment wrapText="1"/>
    </xf>
    <xf numFmtId="0" fontId="90" fillId="33" borderId="39" xfId="0" applyFont="1" applyFill="1" applyBorder="1" applyAlignment="1">
      <alignment wrapText="1"/>
    </xf>
    <xf numFmtId="0" fontId="90" fillId="33" borderId="57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top"/>
    </xf>
    <xf numFmtId="2" fontId="90" fillId="0" borderId="21" xfId="0" applyNumberFormat="1" applyFont="1" applyBorder="1" applyAlignment="1">
      <alignment/>
    </xf>
    <xf numFmtId="0" fontId="91" fillId="0" borderId="19" xfId="0" applyFont="1" applyBorder="1" applyAlignment="1">
      <alignment/>
    </xf>
    <xf numFmtId="2" fontId="90" fillId="0" borderId="19" xfId="0" applyNumberFormat="1" applyFont="1" applyBorder="1" applyAlignment="1">
      <alignment/>
    </xf>
    <xf numFmtId="2" fontId="90" fillId="0" borderId="14" xfId="0" applyNumberFormat="1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19" xfId="0" applyFont="1" applyBorder="1" applyAlignment="1">
      <alignment wrapText="1"/>
    </xf>
    <xf numFmtId="0" fontId="91" fillId="0" borderId="36" xfId="0" applyFont="1" applyBorder="1" applyAlignment="1">
      <alignment wrapText="1"/>
    </xf>
    <xf numFmtId="2" fontId="90" fillId="0" borderId="20" xfId="0" applyNumberFormat="1" applyFont="1" applyBorder="1" applyAlignment="1">
      <alignment/>
    </xf>
    <xf numFmtId="0" fontId="91" fillId="0" borderId="11" xfId="0" applyFont="1" applyBorder="1" applyAlignment="1">
      <alignment/>
    </xf>
    <xf numFmtId="2" fontId="90" fillId="0" borderId="11" xfId="0" applyNumberFormat="1" applyFont="1" applyBorder="1" applyAlignment="1">
      <alignment/>
    </xf>
    <xf numFmtId="0" fontId="91" fillId="0" borderId="20" xfId="0" applyFont="1" applyBorder="1" applyAlignment="1">
      <alignment/>
    </xf>
    <xf numFmtId="2" fontId="91" fillId="0" borderId="11" xfId="0" applyNumberFormat="1" applyFont="1" applyBorder="1" applyAlignment="1">
      <alignment/>
    </xf>
    <xf numFmtId="0" fontId="91" fillId="0" borderId="11" xfId="0" applyFont="1" applyBorder="1" applyAlignment="1">
      <alignment wrapText="1"/>
    </xf>
    <xf numFmtId="0" fontId="91" fillId="0" borderId="35" xfId="0" applyFont="1" applyBorder="1" applyAlignment="1">
      <alignment wrapText="1"/>
    </xf>
    <xf numFmtId="0" fontId="2" fillId="0" borderId="36" xfId="0" applyFont="1" applyBorder="1" applyAlignment="1">
      <alignment horizontal="center" vertical="top"/>
    </xf>
    <xf numFmtId="2" fontId="90" fillId="0" borderId="17" xfId="0" applyNumberFormat="1" applyFont="1" applyBorder="1" applyAlignment="1">
      <alignment/>
    </xf>
    <xf numFmtId="0" fontId="91" fillId="0" borderId="16" xfId="0" applyFont="1" applyBorder="1" applyAlignment="1">
      <alignment/>
    </xf>
    <xf numFmtId="2" fontId="90" fillId="0" borderId="16" xfId="0" applyNumberFormat="1" applyFont="1" applyBorder="1" applyAlignment="1">
      <alignment/>
    </xf>
    <xf numFmtId="0" fontId="91" fillId="0" borderId="17" xfId="0" applyFont="1" applyBorder="1" applyAlignment="1">
      <alignment/>
    </xf>
    <xf numFmtId="2" fontId="91" fillId="0" borderId="17" xfId="0" applyNumberFormat="1" applyFont="1" applyBorder="1" applyAlignment="1">
      <alignment/>
    </xf>
    <xf numFmtId="2" fontId="91" fillId="0" borderId="16" xfId="0" applyNumberFormat="1" applyFont="1" applyBorder="1" applyAlignment="1">
      <alignment/>
    </xf>
    <xf numFmtId="0" fontId="91" fillId="0" borderId="16" xfId="0" applyFont="1" applyBorder="1" applyAlignment="1">
      <alignment wrapText="1"/>
    </xf>
    <xf numFmtId="0" fontId="91" fillId="0" borderId="37" xfId="0" applyFont="1" applyBorder="1" applyAlignment="1">
      <alignment wrapText="1"/>
    </xf>
    <xf numFmtId="0" fontId="6" fillId="33" borderId="39" xfId="0" applyFont="1" applyFill="1" applyBorder="1" applyAlignment="1">
      <alignment/>
    </xf>
    <xf numFmtId="2" fontId="6" fillId="33" borderId="39" xfId="0" applyNumberFormat="1" applyFont="1" applyFill="1" applyBorder="1" applyAlignment="1">
      <alignment/>
    </xf>
    <xf numFmtId="2" fontId="6" fillId="33" borderId="33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39" xfId="0" applyFont="1" applyFill="1" applyBorder="1" applyAlignment="1">
      <alignment wrapText="1"/>
    </xf>
    <xf numFmtId="0" fontId="6" fillId="33" borderId="57" xfId="0" applyFont="1" applyFill="1" applyBorder="1" applyAlignment="1">
      <alignment wrapText="1"/>
    </xf>
    <xf numFmtId="0" fontId="2" fillId="0" borderId="37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2" fillId="0" borderId="48" xfId="0" applyFont="1" applyBorder="1" applyAlignment="1">
      <alignment/>
    </xf>
    <xf numFmtId="2" fontId="6" fillId="0" borderId="65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36" xfId="0" applyFont="1" applyBorder="1" applyAlignment="1">
      <alignment wrapText="1"/>
    </xf>
    <xf numFmtId="2" fontId="6" fillId="0" borderId="17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63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72" xfId="0" applyFont="1" applyBorder="1" applyAlignment="1">
      <alignment horizontal="center" vertical="top"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2" fontId="2" fillId="0" borderId="16" xfId="0" applyNumberFormat="1" applyFont="1" applyBorder="1" applyAlignment="1">
      <alignment/>
    </xf>
    <xf numFmtId="0" fontId="6" fillId="33" borderId="52" xfId="0" applyFont="1" applyFill="1" applyBorder="1" applyAlignment="1">
      <alignment wrapText="1"/>
    </xf>
    <xf numFmtId="2" fontId="6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33" borderId="3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73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2" fontId="6" fillId="0" borderId="60" xfId="0" applyNumberFormat="1" applyFont="1" applyBorder="1" applyAlignment="1">
      <alignment/>
    </xf>
    <xf numFmtId="0" fontId="6" fillId="0" borderId="33" xfId="0" applyFont="1" applyBorder="1" applyAlignment="1">
      <alignment/>
    </xf>
    <xf numFmtId="2" fontId="2" fillId="9" borderId="20" xfId="0" applyNumberFormat="1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2" fillId="3" borderId="35" xfId="0" applyFont="1" applyFill="1" applyBorder="1" applyAlignment="1">
      <alignment horizontal="center"/>
    </xf>
    <xf numFmtId="2" fontId="92" fillId="0" borderId="20" xfId="0" applyNumberFormat="1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Fill="1" applyAlignment="1">
      <alignment/>
    </xf>
    <xf numFmtId="2" fontId="92" fillId="0" borderId="17" xfId="0" applyNumberFormat="1" applyFont="1" applyBorder="1" applyAlignment="1">
      <alignment/>
    </xf>
    <xf numFmtId="0" fontId="92" fillId="0" borderId="16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2" fontId="92" fillId="3" borderId="52" xfId="0" applyNumberFormat="1" applyFont="1" applyFill="1" applyBorder="1" applyAlignment="1">
      <alignment/>
    </xf>
    <xf numFmtId="0" fontId="93" fillId="3" borderId="39" xfId="0" applyFont="1" applyFill="1" applyBorder="1" applyAlignment="1">
      <alignment/>
    </xf>
    <xf numFmtId="0" fontId="2" fillId="3" borderId="57" xfId="0" applyFont="1" applyFill="1" applyBorder="1" applyAlignment="1">
      <alignment horizontal="center"/>
    </xf>
    <xf numFmtId="2" fontId="92" fillId="0" borderId="17" xfId="0" applyNumberFormat="1" applyFont="1" applyFill="1" applyBorder="1" applyAlignment="1">
      <alignment/>
    </xf>
    <xf numFmtId="0" fontId="92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92" fillId="3" borderId="39" xfId="0" applyFont="1" applyFill="1" applyBorder="1" applyAlignment="1">
      <alignment/>
    </xf>
    <xf numFmtId="0" fontId="2" fillId="3" borderId="42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/>
    </xf>
    <xf numFmtId="2" fontId="2" fillId="3" borderId="52" xfId="0" applyNumberFormat="1" applyFont="1" applyFill="1" applyBorder="1" applyAlignment="1">
      <alignment/>
    </xf>
    <xf numFmtId="0" fontId="2" fillId="3" borderId="39" xfId="0" applyFont="1" applyFill="1" applyBorder="1" applyAlignment="1">
      <alignment/>
    </xf>
    <xf numFmtId="2" fontId="2" fillId="9" borderId="1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9" fillId="3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92" fillId="0" borderId="20" xfId="0" applyNumberFormat="1" applyFont="1" applyFill="1" applyBorder="1" applyAlignment="1">
      <alignment/>
    </xf>
    <xf numFmtId="0" fontId="93" fillId="0" borderId="16" xfId="0" applyFont="1" applyFill="1" applyBorder="1" applyAlignment="1">
      <alignment/>
    </xf>
    <xf numFmtId="2" fontId="6" fillId="33" borderId="62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1" fillId="0" borderId="0" xfId="58" applyFill="1">
      <alignment/>
      <protection/>
    </xf>
    <xf numFmtId="0" fontId="21" fillId="0" borderId="0" xfId="58" applyBorder="1">
      <alignment/>
      <protection/>
    </xf>
    <xf numFmtId="2" fontId="6" fillId="35" borderId="52" xfId="58" applyNumberFormat="1" applyFont="1" applyFill="1" applyBorder="1">
      <alignment/>
      <protection/>
    </xf>
    <xf numFmtId="0" fontId="24" fillId="35" borderId="39" xfId="58" applyFont="1" applyFill="1" applyBorder="1">
      <alignment/>
      <protection/>
    </xf>
    <xf numFmtId="0" fontId="2" fillId="35" borderId="39" xfId="58" applyFont="1" applyFill="1" applyBorder="1">
      <alignment/>
      <protection/>
    </xf>
    <xf numFmtId="0" fontId="24" fillId="35" borderId="39" xfId="58" applyFont="1" applyFill="1" applyBorder="1" applyAlignment="1">
      <alignment horizontal="center"/>
      <protection/>
    </xf>
    <xf numFmtId="2" fontId="94" fillId="35" borderId="52" xfId="58" applyNumberFormat="1" applyFont="1" applyFill="1" applyBorder="1">
      <alignment/>
      <protection/>
    </xf>
    <xf numFmtId="0" fontId="26" fillId="35" borderId="39" xfId="58" applyFont="1" applyFill="1" applyBorder="1">
      <alignment/>
      <protection/>
    </xf>
    <xf numFmtId="0" fontId="6" fillId="35" borderId="39" xfId="58" applyFont="1" applyFill="1" applyBorder="1">
      <alignment/>
      <protection/>
    </xf>
    <xf numFmtId="0" fontId="26" fillId="35" borderId="57" xfId="58" applyFont="1" applyFill="1" applyBorder="1" applyAlignment="1">
      <alignment horizontal="center"/>
      <protection/>
    </xf>
    <xf numFmtId="2" fontId="6" fillId="35" borderId="21" xfId="58" applyNumberFormat="1" applyFont="1" applyFill="1" applyBorder="1">
      <alignment/>
      <protection/>
    </xf>
    <xf numFmtId="0" fontId="24" fillId="35" borderId="19" xfId="58" applyFont="1" applyFill="1" applyBorder="1">
      <alignment/>
      <protection/>
    </xf>
    <xf numFmtId="0" fontId="2" fillId="35" borderId="19" xfId="58" applyFont="1" applyFill="1" applyBorder="1">
      <alignment/>
      <protection/>
    </xf>
    <xf numFmtId="0" fontId="2" fillId="35" borderId="42" xfId="58" applyFont="1" applyFill="1" applyBorder="1" applyAlignment="1">
      <alignment horizontal="left"/>
      <protection/>
    </xf>
    <xf numFmtId="0" fontId="2" fillId="35" borderId="46" xfId="58" applyFont="1" applyFill="1" applyBorder="1" applyAlignment="1">
      <alignment horizontal="left"/>
      <protection/>
    </xf>
    <xf numFmtId="0" fontId="2" fillId="35" borderId="49" xfId="58" applyFont="1" applyFill="1" applyBorder="1" applyAlignment="1">
      <alignment horizontal="left"/>
      <protection/>
    </xf>
    <xf numFmtId="0" fontId="24" fillId="35" borderId="11" xfId="58" applyFont="1" applyFill="1" applyBorder="1" applyAlignment="1">
      <alignment horizontal="center"/>
      <protection/>
    </xf>
    <xf numFmtId="2" fontId="94" fillId="0" borderId="62" xfId="58" applyNumberFormat="1" applyFont="1" applyFill="1" applyBorder="1">
      <alignment/>
      <protection/>
    </xf>
    <xf numFmtId="0" fontId="24" fillId="0" borderId="13" xfId="58" applyFont="1" applyFill="1" applyBorder="1">
      <alignment/>
      <protection/>
    </xf>
    <xf numFmtId="0" fontId="2" fillId="0" borderId="13" xfId="58" applyFont="1" applyFill="1" applyBorder="1">
      <alignment/>
      <protection/>
    </xf>
    <xf numFmtId="0" fontId="24" fillId="0" borderId="16" xfId="58" applyFont="1" applyFill="1" applyBorder="1" applyAlignment="1">
      <alignment horizontal="center"/>
      <protection/>
    </xf>
    <xf numFmtId="0" fontId="95" fillId="35" borderId="39" xfId="58" applyFont="1" applyFill="1" applyBorder="1">
      <alignment/>
      <protection/>
    </xf>
    <xf numFmtId="0" fontId="94" fillId="35" borderId="39" xfId="58" applyFont="1" applyFill="1" applyBorder="1">
      <alignment/>
      <protection/>
    </xf>
    <xf numFmtId="2" fontId="2" fillId="35" borderId="20" xfId="58" applyNumberFormat="1" applyFont="1" applyFill="1" applyBorder="1">
      <alignment/>
      <protection/>
    </xf>
    <xf numFmtId="0" fontId="2" fillId="35" borderId="11" xfId="58" applyFont="1" applyFill="1" applyBorder="1">
      <alignment/>
      <protection/>
    </xf>
    <xf numFmtId="2" fontId="2" fillId="0" borderId="17" xfId="58" applyNumberFormat="1" applyFont="1" applyFill="1" applyBorder="1">
      <alignment/>
      <protection/>
    </xf>
    <xf numFmtId="0" fontId="2" fillId="0" borderId="16" xfId="58" applyFont="1" applyFill="1" applyBorder="1">
      <alignment/>
      <protection/>
    </xf>
    <xf numFmtId="0" fontId="24" fillId="0" borderId="16" xfId="58" applyFont="1" applyBorder="1" applyAlignment="1">
      <alignment horizontal="center"/>
      <protection/>
    </xf>
    <xf numFmtId="2" fontId="2" fillId="0" borderId="20" xfId="58" applyNumberFormat="1" applyFont="1" applyFill="1" applyBorder="1">
      <alignment/>
      <protection/>
    </xf>
    <xf numFmtId="0" fontId="2" fillId="0" borderId="11" xfId="58" applyFont="1" applyFill="1" applyBorder="1">
      <alignment/>
      <protection/>
    </xf>
    <xf numFmtId="0" fontId="24" fillId="0" borderId="11" xfId="58" applyFont="1" applyFill="1" applyBorder="1" applyAlignment="1">
      <alignment horizontal="center"/>
      <protection/>
    </xf>
    <xf numFmtId="2" fontId="2" fillId="0" borderId="20" xfId="58" applyNumberFormat="1" applyFont="1" applyBorder="1">
      <alignment/>
      <protection/>
    </xf>
    <xf numFmtId="0" fontId="2" fillId="0" borderId="11" xfId="58" applyFont="1" applyBorder="1">
      <alignment/>
      <protection/>
    </xf>
    <xf numFmtId="2" fontId="2" fillId="0" borderId="17" xfId="58" applyNumberFormat="1" applyFont="1" applyBorder="1">
      <alignment/>
      <protection/>
    </xf>
    <xf numFmtId="0" fontId="2" fillId="0" borderId="16" xfId="58" applyFont="1" applyBorder="1">
      <alignment/>
      <protection/>
    </xf>
    <xf numFmtId="2" fontId="94" fillId="0" borderId="62" xfId="58" applyNumberFormat="1" applyFont="1" applyBorder="1">
      <alignment/>
      <protection/>
    </xf>
    <xf numFmtId="0" fontId="6" fillId="0" borderId="13" xfId="58" applyFont="1" applyBorder="1">
      <alignment/>
      <protection/>
    </xf>
    <xf numFmtId="0" fontId="24" fillId="0" borderId="19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0" xfId="58" applyFont="1">
      <alignment/>
      <protection/>
    </xf>
    <xf numFmtId="0" fontId="3" fillId="0" borderId="0" xfId="58" applyFont="1" applyAlignment="1">
      <alignment horizontal="right"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23" fillId="0" borderId="61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25" fillId="0" borderId="42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23" fillId="0" borderId="17" xfId="0" applyNumberFormat="1" applyFont="1" applyBorder="1" applyAlignment="1">
      <alignment horizontal="center"/>
    </xf>
    <xf numFmtId="166" fontId="23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6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6" fillId="0" borderId="74" xfId="0" applyFont="1" applyBorder="1" applyAlignment="1">
      <alignment/>
    </xf>
    <xf numFmtId="0" fontId="23" fillId="0" borderId="6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2" fillId="0" borderId="49" xfId="0" applyFont="1" applyBorder="1" applyAlignment="1">
      <alignment/>
    </xf>
    <xf numFmtId="166" fontId="23" fillId="0" borderId="17" xfId="0" applyNumberFormat="1" applyFont="1" applyBorder="1" applyAlignment="1">
      <alignment horizontal="center" vertical="center"/>
    </xf>
    <xf numFmtId="166" fontId="23" fillId="0" borderId="7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3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2" fontId="6" fillId="33" borderId="52" xfId="0" applyNumberFormat="1" applyFont="1" applyFill="1" applyBorder="1" applyAlignment="1">
      <alignment horizontal="right"/>
    </xf>
    <xf numFmtId="0" fontId="6" fillId="33" borderId="57" xfId="0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25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44" xfId="0" applyBorder="1" applyAlignment="1">
      <alignment/>
    </xf>
    <xf numFmtId="0" fontId="6" fillId="0" borderId="44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vertical="center" wrapText="1"/>
    </xf>
    <xf numFmtId="0" fontId="1" fillId="0" borderId="45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0" fillId="0" borderId="15" xfId="0" applyBorder="1" applyAlignment="1">
      <alignment/>
    </xf>
    <xf numFmtId="9" fontId="0" fillId="0" borderId="19" xfId="0" applyNumberFormat="1" applyBorder="1" applyAlignment="1">
      <alignment/>
    </xf>
    <xf numFmtId="0" fontId="2" fillId="0" borderId="36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0" borderId="73" xfId="0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35" xfId="0" applyFont="1" applyBorder="1" applyAlignment="1">
      <alignment/>
    </xf>
    <xf numFmtId="0" fontId="0" fillId="0" borderId="49" xfId="0" applyBorder="1" applyAlignment="1">
      <alignment/>
    </xf>
    <xf numFmtId="0" fontId="2" fillId="0" borderId="55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70" xfId="0" applyBorder="1" applyAlignment="1">
      <alignment/>
    </xf>
    <xf numFmtId="9" fontId="0" fillId="0" borderId="16" xfId="0" applyNumberForma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79" xfId="0" applyFont="1" applyBorder="1" applyAlignment="1">
      <alignment horizontal="right"/>
    </xf>
    <xf numFmtId="0" fontId="2" fillId="0" borderId="6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9" xfId="0" applyFont="1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Border="1" applyAlignment="1">
      <alignment/>
    </xf>
    <xf numFmtId="14" fontId="2" fillId="0" borderId="6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5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6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49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73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92" fillId="0" borderId="77" xfId="0" applyFont="1" applyBorder="1" applyAlignment="1">
      <alignment horizontal="right" wrapText="1"/>
    </xf>
    <xf numFmtId="0" fontId="92" fillId="0" borderId="10" xfId="0" applyFont="1" applyBorder="1" applyAlignment="1">
      <alignment horizontal="right" wrapText="1"/>
    </xf>
    <xf numFmtId="0" fontId="92" fillId="0" borderId="70" xfId="0" applyFont="1" applyBorder="1" applyAlignment="1">
      <alignment horizontal="right" wrapText="1"/>
    </xf>
    <xf numFmtId="0" fontId="92" fillId="0" borderId="16" xfId="0" applyFont="1" applyBorder="1" applyAlignment="1">
      <alignment horizontal="right" wrapText="1"/>
    </xf>
    <xf numFmtId="0" fontId="2" fillId="0" borderId="74" xfId="0" applyFont="1" applyBorder="1" applyAlignment="1">
      <alignment horizontal="center"/>
    </xf>
    <xf numFmtId="0" fontId="0" fillId="0" borderId="71" xfId="0" applyBorder="1" applyAlignment="1">
      <alignment/>
    </xf>
    <xf numFmtId="0" fontId="96" fillId="0" borderId="0" xfId="0" applyFont="1" applyAlignment="1">
      <alignment horizontal="center"/>
    </xf>
    <xf numFmtId="0" fontId="73" fillId="0" borderId="0" xfId="59">
      <alignment/>
      <protection/>
    </xf>
    <xf numFmtId="0" fontId="63" fillId="0" borderId="11" xfId="59" applyFont="1" applyFill="1" applyBorder="1">
      <alignment/>
      <protection/>
    </xf>
    <xf numFmtId="0" fontId="73" fillId="0" borderId="11" xfId="59" applyBorder="1">
      <alignment/>
      <protection/>
    </xf>
    <xf numFmtId="0" fontId="97" fillId="0" borderId="11" xfId="59" applyFont="1" applyBorder="1" applyAlignment="1">
      <alignment horizontal="center"/>
      <protection/>
    </xf>
    <xf numFmtId="0" fontId="63" fillId="33" borderId="11" xfId="59" applyFont="1" applyFill="1" applyBorder="1">
      <alignment/>
      <protection/>
    </xf>
    <xf numFmtId="0" fontId="73" fillId="33" borderId="11" xfId="59" applyFill="1" applyBorder="1">
      <alignment/>
      <protection/>
    </xf>
    <xf numFmtId="0" fontId="63" fillId="0" borderId="11" xfId="59" applyFont="1" applyBorder="1">
      <alignment/>
      <protection/>
    </xf>
    <xf numFmtId="0" fontId="97" fillId="33" borderId="11" xfId="59" applyFont="1" applyFill="1" applyBorder="1" applyAlignment="1">
      <alignment horizontal="center"/>
      <protection/>
    </xf>
    <xf numFmtId="0" fontId="86" fillId="0" borderId="11" xfId="59" applyFont="1" applyBorder="1">
      <alignment/>
      <protection/>
    </xf>
    <xf numFmtId="0" fontId="97" fillId="0" borderId="11" xfId="59" applyFont="1" applyBorder="1">
      <alignment/>
      <protection/>
    </xf>
    <xf numFmtId="0" fontId="98" fillId="0" borderId="11" xfId="59" applyFont="1" applyBorder="1" applyAlignment="1">
      <alignment horizontal="center"/>
      <protection/>
    </xf>
    <xf numFmtId="0" fontId="97" fillId="0" borderId="0" xfId="59" applyFont="1">
      <alignment/>
      <protection/>
    </xf>
    <xf numFmtId="0" fontId="96" fillId="0" borderId="0" xfId="0" applyFont="1" applyAlignment="1">
      <alignment/>
    </xf>
    <xf numFmtId="0" fontId="9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9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93" fillId="0" borderId="11" xfId="0" applyFont="1" applyBorder="1" applyAlignment="1">
      <alignment horizontal="left"/>
    </xf>
    <xf numFmtId="0" fontId="100" fillId="0" borderId="11" xfId="0" applyFont="1" applyBorder="1" applyAlignment="1">
      <alignment horizontal="right"/>
    </xf>
    <xf numFmtId="0" fontId="92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92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8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" fillId="36" borderId="20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right"/>
    </xf>
    <xf numFmtId="0" fontId="6" fillId="36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52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87" xfId="0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88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7" xfId="0" applyBorder="1" applyAlignment="1">
      <alignment/>
    </xf>
    <xf numFmtId="0" fontId="9" fillId="0" borderId="89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90" xfId="0" applyBorder="1" applyAlignment="1">
      <alignment/>
    </xf>
    <xf numFmtId="0" fontId="0" fillId="0" borderId="89" xfId="0" applyBorder="1" applyAlignment="1">
      <alignment/>
    </xf>
    <xf numFmtId="0" fontId="6" fillId="0" borderId="7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49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4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5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55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0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33" borderId="37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7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2" fontId="2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5" xfId="0" applyFill="1" applyBorder="1" applyAlignment="1">
      <alignment/>
    </xf>
    <xf numFmtId="2" fontId="2" fillId="0" borderId="7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4" fontId="1" fillId="0" borderId="39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49" xfId="67" applyNumberFormat="1" applyFont="1" applyFill="1" applyBorder="1" applyAlignment="1">
      <alignment/>
    </xf>
    <xf numFmtId="2" fontId="2" fillId="0" borderId="70" xfId="67" applyNumberFormat="1" applyFont="1" applyFill="1" applyBorder="1" applyAlignment="1">
      <alignment/>
    </xf>
    <xf numFmtId="14" fontId="1" fillId="0" borderId="39" xfId="0" applyNumberFormat="1" applyFont="1" applyBorder="1" applyAlignment="1">
      <alignment/>
    </xf>
    <xf numFmtId="14" fontId="1" fillId="0" borderId="44" xfId="0" applyNumberFormat="1" applyFont="1" applyBorder="1" applyAlignment="1">
      <alignment/>
    </xf>
    <xf numFmtId="0" fontId="3" fillId="0" borderId="0" xfId="0" applyFont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0" xfId="6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67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2" fontId="2" fillId="0" borderId="11" xfId="67" applyNumberFormat="1" applyFont="1" applyFill="1" applyBorder="1" applyAlignment="1">
      <alignment horizontal="center"/>
    </xf>
    <xf numFmtId="2" fontId="2" fillId="0" borderId="16" xfId="67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65" fontId="2" fillId="0" borderId="67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0" fontId="39" fillId="0" borderId="50" xfId="0" applyFont="1" applyFill="1" applyBorder="1" applyAlignment="1">
      <alignment/>
    </xf>
    <xf numFmtId="165" fontId="0" fillId="0" borderId="50" xfId="0" applyNumberFormat="1" applyFill="1" applyBorder="1" applyAlignment="1">
      <alignment/>
    </xf>
    <xf numFmtId="165" fontId="39" fillId="0" borderId="50" xfId="42" applyNumberFormat="1" applyFont="1" applyFill="1" applyBorder="1" applyAlignment="1">
      <alignment/>
    </xf>
    <xf numFmtId="0" fontId="0" fillId="0" borderId="70" xfId="0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39" fillId="0" borderId="0" xfId="42" applyNumberFormat="1" applyFont="1" applyFill="1" applyBorder="1" applyAlignment="1">
      <alignment/>
    </xf>
    <xf numFmtId="0" fontId="0" fillId="0" borderId="69" xfId="0" applyFill="1" applyBorder="1" applyAlignment="1">
      <alignment/>
    </xf>
    <xf numFmtId="165" fontId="2" fillId="0" borderId="48" xfId="0" applyNumberFormat="1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165" fontId="2" fillId="0" borderId="47" xfId="0" applyNumberFormat="1" applyFont="1" applyFill="1" applyBorder="1" applyAlignment="1">
      <alignment/>
    </xf>
    <xf numFmtId="165" fontId="39" fillId="0" borderId="47" xfId="42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165" fontId="2" fillId="0" borderId="50" xfId="0" applyNumberFormat="1" applyFont="1" applyFill="1" applyBorder="1" applyAlignment="1">
      <alignment/>
    </xf>
    <xf numFmtId="0" fontId="39" fillId="0" borderId="0" xfId="0" applyFont="1" applyAlignment="1">
      <alignment/>
    </xf>
    <xf numFmtId="165" fontId="39" fillId="0" borderId="0" xfId="42" applyNumberFormat="1" applyFont="1" applyAlignment="1">
      <alignment/>
    </xf>
    <xf numFmtId="165" fontId="6" fillId="0" borderId="43" xfId="42" applyNumberFormat="1" applyFont="1" applyFill="1" applyBorder="1" applyAlignment="1">
      <alignment/>
    </xf>
    <xf numFmtId="0" fontId="40" fillId="0" borderId="57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165" fontId="40" fillId="0" borderId="57" xfId="42" applyNumberFormat="1" applyFont="1" applyFill="1" applyBorder="1" applyAlignment="1">
      <alignment/>
    </xf>
    <xf numFmtId="165" fontId="6" fillId="0" borderId="57" xfId="42" applyNumberFormat="1" applyFont="1" applyFill="1" applyBorder="1" applyAlignment="1">
      <alignment/>
    </xf>
    <xf numFmtId="165" fontId="0" fillId="0" borderId="49" xfId="42" applyNumberFormat="1" applyFont="1" applyBorder="1" applyAlignment="1">
      <alignment/>
    </xf>
    <xf numFmtId="0" fontId="39" fillId="0" borderId="11" xfId="0" applyFont="1" applyBorder="1" applyAlignment="1">
      <alignment/>
    </xf>
    <xf numFmtId="165" fontId="39" fillId="0" borderId="11" xfId="42" applyNumberFormat="1" applyFont="1" applyBorder="1" applyAlignment="1">
      <alignment/>
    </xf>
    <xf numFmtId="0" fontId="39" fillId="0" borderId="80" xfId="0" applyFont="1" applyFill="1" applyBorder="1" applyAlignment="1">
      <alignment/>
    </xf>
    <xf numFmtId="165" fontId="2" fillId="0" borderId="49" xfId="42" applyNumberFormat="1" applyFont="1" applyBorder="1" applyAlignment="1">
      <alignment/>
    </xf>
    <xf numFmtId="165" fontId="40" fillId="0" borderId="11" xfId="42" applyNumberFormat="1" applyFont="1" applyBorder="1" applyAlignment="1">
      <alignment/>
    </xf>
    <xf numFmtId="0" fontId="39" fillId="0" borderId="35" xfId="0" applyFont="1" applyBorder="1" applyAlignment="1">
      <alignment/>
    </xf>
    <xf numFmtId="165" fontId="6" fillId="0" borderId="49" xfId="42" applyNumberFormat="1" applyFont="1" applyBorder="1" applyAlignment="1">
      <alignment/>
    </xf>
    <xf numFmtId="0" fontId="40" fillId="0" borderId="11" xfId="0" applyFont="1" applyBorder="1" applyAlignment="1">
      <alignment/>
    </xf>
    <xf numFmtId="165" fontId="6" fillId="0" borderId="11" xfId="42" applyNumberFormat="1" applyFont="1" applyBorder="1" applyAlignment="1">
      <alignment/>
    </xf>
    <xf numFmtId="0" fontId="40" fillId="0" borderId="35" xfId="0" applyFont="1" applyBorder="1" applyAlignment="1">
      <alignment/>
    </xf>
    <xf numFmtId="165" fontId="92" fillId="33" borderId="49" xfId="42" applyNumberFormat="1" applyFont="1" applyFill="1" applyBorder="1" applyAlignment="1">
      <alignment horizontal="right"/>
    </xf>
    <xf numFmtId="0" fontId="101" fillId="33" borderId="11" xfId="0" applyFont="1" applyFill="1" applyBorder="1" applyAlignment="1">
      <alignment horizontal="right"/>
    </xf>
    <xf numFmtId="0" fontId="92" fillId="33" borderId="11" xfId="0" applyFont="1" applyFill="1" applyBorder="1" applyAlignment="1">
      <alignment horizontal="right"/>
    </xf>
    <xf numFmtId="165" fontId="101" fillId="33" borderId="11" xfId="42" applyNumberFormat="1" applyFont="1" applyFill="1" applyBorder="1" applyAlignment="1">
      <alignment horizontal="right"/>
    </xf>
    <xf numFmtId="165" fontId="92" fillId="33" borderId="11" xfId="42" applyNumberFormat="1" applyFont="1" applyFill="1" applyBorder="1" applyAlignment="1">
      <alignment horizontal="right"/>
    </xf>
    <xf numFmtId="0" fontId="101" fillId="33" borderId="35" xfId="0" applyFont="1" applyFill="1" applyBorder="1" applyAlignment="1">
      <alignment/>
    </xf>
    <xf numFmtId="165" fontId="2" fillId="0" borderId="49" xfId="42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 horizontal="right"/>
    </xf>
    <xf numFmtId="165" fontId="39" fillId="0" borderId="11" xfId="42" applyNumberFormat="1" applyFont="1" applyFill="1" applyBorder="1" applyAlignment="1">
      <alignment horizontal="right"/>
    </xf>
    <xf numFmtId="165" fontId="2" fillId="0" borderId="11" xfId="42" applyNumberFormat="1" applyFont="1" applyFill="1" applyBorder="1" applyAlignment="1">
      <alignment horizontal="right"/>
    </xf>
    <xf numFmtId="0" fontId="39" fillId="0" borderId="35" xfId="0" applyFont="1" applyFill="1" applyBorder="1" applyAlignment="1">
      <alignment/>
    </xf>
    <xf numFmtId="165" fontId="2" fillId="33" borderId="49" xfId="42" applyNumberFormat="1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165" fontId="39" fillId="33" borderId="11" xfId="42" applyNumberFormat="1" applyFont="1" applyFill="1" applyBorder="1" applyAlignment="1">
      <alignment horizontal="right"/>
    </xf>
    <xf numFmtId="165" fontId="2" fillId="33" borderId="11" xfId="42" applyNumberFormat="1" applyFont="1" applyFill="1" applyBorder="1" applyAlignment="1">
      <alignment horizontal="right"/>
    </xf>
    <xf numFmtId="0" fontId="39" fillId="33" borderId="35" xfId="0" applyFont="1" applyFill="1" applyBorder="1" applyAlignment="1">
      <alignment/>
    </xf>
    <xf numFmtId="165" fontId="2" fillId="0" borderId="49" xfId="42" applyNumberFormat="1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165" fontId="39" fillId="0" borderId="11" xfId="42" applyNumberFormat="1" applyFont="1" applyBorder="1" applyAlignment="1">
      <alignment horizontal="right"/>
    </xf>
    <xf numFmtId="165" fontId="2" fillId="0" borderId="11" xfId="42" applyNumberFormat="1" applyFont="1" applyBorder="1" applyAlignment="1">
      <alignment horizontal="right"/>
    </xf>
    <xf numFmtId="165" fontId="2" fillId="0" borderId="70" xfId="42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5" fontId="39" fillId="0" borderId="16" xfId="42" applyNumberFormat="1" applyFont="1" applyBorder="1" applyAlignment="1">
      <alignment horizontal="right"/>
    </xf>
    <xf numFmtId="165" fontId="2" fillId="0" borderId="16" xfId="42" applyNumberFormat="1" applyFont="1" applyBorder="1" applyAlignment="1">
      <alignment horizontal="right"/>
    </xf>
    <xf numFmtId="0" fontId="39" fillId="0" borderId="37" xfId="0" applyFont="1" applyBorder="1" applyAlignment="1">
      <alignment/>
    </xf>
    <xf numFmtId="0" fontId="2" fillId="0" borderId="7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165" fontId="39" fillId="0" borderId="14" xfId="42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5" fontId="39" fillId="0" borderId="14" xfId="42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/>
    </xf>
    <xf numFmtId="165" fontId="6" fillId="0" borderId="16" xfId="42" applyNumberFormat="1" applyFont="1" applyBorder="1" applyAlignment="1">
      <alignment wrapText="1"/>
    </xf>
    <xf numFmtId="0" fontId="39" fillId="0" borderId="16" xfId="0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39" fillId="0" borderId="42" xfId="0" applyFont="1" applyBorder="1" applyAlignment="1">
      <alignment/>
    </xf>
    <xf numFmtId="165" fontId="39" fillId="0" borderId="49" xfId="42" applyNumberFormat="1" applyFont="1" applyBorder="1" applyAlignment="1">
      <alignment horizontal="right"/>
    </xf>
    <xf numFmtId="0" fontId="39" fillId="0" borderId="49" xfId="0" applyFont="1" applyBorder="1" applyAlignment="1">
      <alignment horizontal="right"/>
    </xf>
    <xf numFmtId="0" fontId="0" fillId="0" borderId="69" xfId="0" applyBorder="1" applyAlignment="1">
      <alignment/>
    </xf>
    <xf numFmtId="0" fontId="39" fillId="0" borderId="0" xfId="0" applyFont="1" applyBorder="1" applyAlignment="1">
      <alignment horizontal="right"/>
    </xf>
    <xf numFmtId="0" fontId="41" fillId="0" borderId="14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/>
    </xf>
    <xf numFmtId="2" fontId="2" fillId="0" borderId="7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2" fontId="6" fillId="0" borderId="49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7" fillId="0" borderId="35" xfId="0" applyFont="1" applyBorder="1" applyAlignment="1">
      <alignment/>
    </xf>
    <xf numFmtId="2" fontId="10" fillId="0" borderId="49" xfId="0" applyNumberFormat="1" applyFont="1" applyBorder="1" applyAlignment="1">
      <alignment/>
    </xf>
    <xf numFmtId="0" fontId="18" fillId="0" borderId="35" xfId="0" applyFont="1" applyBorder="1" applyAlignment="1">
      <alignment wrapText="1"/>
    </xf>
    <xf numFmtId="2" fontId="6" fillId="0" borderId="7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84" xfId="0" applyFont="1" applyBorder="1" applyAlignment="1">
      <alignment horizontal="center"/>
    </xf>
    <xf numFmtId="0" fontId="68" fillId="0" borderId="0" xfId="59" applyFont="1" applyFill="1" applyBorder="1">
      <alignment/>
      <protection/>
    </xf>
    <xf numFmtId="0" fontId="69" fillId="0" borderId="52" xfId="59" applyFont="1" applyBorder="1">
      <alignment/>
      <protection/>
    </xf>
    <xf numFmtId="0" fontId="69" fillId="0" borderId="39" xfId="59" applyFont="1" applyBorder="1">
      <alignment/>
      <protection/>
    </xf>
    <xf numFmtId="0" fontId="98" fillId="0" borderId="57" xfId="59" applyFont="1" applyBorder="1" applyAlignment="1">
      <alignment horizontal="center"/>
      <protection/>
    </xf>
    <xf numFmtId="0" fontId="70" fillId="0" borderId="19" xfId="59" applyFont="1" applyBorder="1">
      <alignment/>
      <protection/>
    </xf>
    <xf numFmtId="0" fontId="70" fillId="0" borderId="14" xfId="59" applyFont="1" applyBorder="1">
      <alignment/>
      <protection/>
    </xf>
    <xf numFmtId="0" fontId="70" fillId="0" borderId="11" xfId="59" applyFont="1" applyBorder="1">
      <alignment/>
      <protection/>
    </xf>
    <xf numFmtId="0" fontId="73" fillId="0" borderId="16" xfId="59" applyBorder="1">
      <alignment/>
      <protection/>
    </xf>
    <xf numFmtId="0" fontId="73" fillId="0" borderId="67" xfId="59" applyBorder="1">
      <alignment/>
      <protection/>
    </xf>
    <xf numFmtId="0" fontId="73" fillId="0" borderId="70" xfId="59" applyBorder="1">
      <alignment/>
      <protection/>
    </xf>
    <xf numFmtId="0" fontId="73" fillId="0" borderId="13" xfId="59" applyBorder="1">
      <alignment/>
      <protection/>
    </xf>
    <xf numFmtId="0" fontId="97" fillId="0" borderId="69" xfId="59" applyFont="1" applyBorder="1">
      <alignment/>
      <protection/>
    </xf>
    <xf numFmtId="0" fontId="73" fillId="0" borderId="69" xfId="59" applyBorder="1">
      <alignment/>
      <protection/>
    </xf>
    <xf numFmtId="0" fontId="97" fillId="0" borderId="13" xfId="59" applyFont="1" applyBorder="1">
      <alignment/>
      <protection/>
    </xf>
    <xf numFmtId="0" fontId="97" fillId="0" borderId="19" xfId="59" applyFont="1" applyBorder="1">
      <alignment/>
      <protection/>
    </xf>
    <xf numFmtId="0" fontId="97" fillId="0" borderId="54" xfId="59" applyFont="1" applyBorder="1">
      <alignment/>
      <protection/>
    </xf>
    <xf numFmtId="0" fontId="97" fillId="0" borderId="19" xfId="59" applyFont="1" applyBorder="1" applyAlignment="1">
      <alignment horizontal="center"/>
      <protection/>
    </xf>
    <xf numFmtId="0" fontId="102" fillId="0" borderId="0" xfId="59" applyFont="1" applyBorder="1">
      <alignment/>
      <protection/>
    </xf>
    <xf numFmtId="0" fontId="69" fillId="0" borderId="0" xfId="59" applyFont="1" applyBorder="1">
      <alignment/>
      <protection/>
    </xf>
    <xf numFmtId="0" fontId="102" fillId="0" borderId="0" xfId="59" applyFont="1" applyBorder="1" applyAlignment="1">
      <alignment horizontal="left"/>
      <protection/>
    </xf>
    <xf numFmtId="0" fontId="97" fillId="0" borderId="0" xfId="59" applyFont="1" applyBorder="1" applyAlignment="1">
      <alignment horizontal="center"/>
      <protection/>
    </xf>
    <xf numFmtId="0" fontId="68" fillId="0" borderId="69" xfId="59" applyFont="1" applyFill="1" applyBorder="1">
      <alignment/>
      <protection/>
    </xf>
    <xf numFmtId="0" fontId="102" fillId="0" borderId="52" xfId="59" applyFont="1" applyBorder="1">
      <alignment/>
      <protection/>
    </xf>
    <xf numFmtId="0" fontId="103" fillId="0" borderId="19" xfId="59" applyFont="1" applyBorder="1">
      <alignment/>
      <protection/>
    </xf>
    <xf numFmtId="0" fontId="103" fillId="0" borderId="11" xfId="59" applyFont="1" applyBorder="1">
      <alignment/>
      <protection/>
    </xf>
    <xf numFmtId="0" fontId="70" fillId="0" borderId="16" xfId="59" applyFont="1" applyBorder="1">
      <alignment/>
      <protection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71" xfId="0" applyFill="1" applyBorder="1" applyAlignment="1">
      <alignment/>
    </xf>
    <xf numFmtId="0" fontId="96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96" fillId="0" borderId="20" xfId="0" applyFont="1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5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6" fillId="0" borderId="5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7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164" fontId="2" fillId="0" borderId="19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10" fillId="0" borderId="43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2" fillId="0" borderId="55" xfId="0" applyFont="1" applyBorder="1" applyAlignment="1">
      <alignment horizontal="left" wrapText="1"/>
    </xf>
    <xf numFmtId="0" fontId="2" fillId="0" borderId="8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" fillId="0" borderId="46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5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33" borderId="90" xfId="0" applyFont="1" applyFill="1" applyBorder="1" applyAlignment="1">
      <alignment horizontal="left"/>
    </xf>
    <xf numFmtId="0" fontId="6" fillId="33" borderId="71" xfId="0" applyFont="1" applyFill="1" applyBorder="1" applyAlignment="1">
      <alignment horizontal="left"/>
    </xf>
    <xf numFmtId="0" fontId="6" fillId="33" borderId="84" xfId="0" applyFont="1" applyFill="1" applyBorder="1" applyAlignment="1">
      <alignment horizontal="left"/>
    </xf>
    <xf numFmtId="0" fontId="6" fillId="34" borderId="57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5" xfId="0" applyFont="1" applyBorder="1" applyAlignment="1">
      <alignment horizontal="left" shrinkToFit="1"/>
    </xf>
    <xf numFmtId="0" fontId="2" fillId="0" borderId="46" xfId="0" applyFont="1" applyBorder="1" applyAlignment="1">
      <alignment horizontal="left" shrinkToFit="1"/>
    </xf>
    <xf numFmtId="0" fontId="2" fillId="0" borderId="42" xfId="0" applyFont="1" applyBorder="1" applyAlignment="1">
      <alignment horizontal="left" shrinkToFit="1"/>
    </xf>
    <xf numFmtId="0" fontId="2" fillId="0" borderId="5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88" xfId="0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49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2" fillId="0" borderId="49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74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6" fillId="0" borderId="46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left" shrinkToFit="1"/>
    </xf>
    <xf numFmtId="0" fontId="6" fillId="0" borderId="46" xfId="0" applyFont="1" applyFill="1" applyBorder="1" applyAlignment="1">
      <alignment horizontal="left" shrinkToFit="1"/>
    </xf>
    <xf numFmtId="0" fontId="6" fillId="0" borderId="42" xfId="0" applyFont="1" applyFill="1" applyBorder="1" applyAlignment="1">
      <alignment horizontal="left" shrinkToFit="1"/>
    </xf>
    <xf numFmtId="0" fontId="6" fillId="0" borderId="49" xfId="0" applyFont="1" applyBorder="1" applyAlignment="1">
      <alignment horizontal="left"/>
    </xf>
    <xf numFmtId="0" fontId="2" fillId="0" borderId="49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6" fillId="0" borderId="49" xfId="0" applyFont="1" applyFill="1" applyBorder="1" applyAlignment="1">
      <alignment horizontal="left"/>
    </xf>
    <xf numFmtId="0" fontId="2" fillId="0" borderId="49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9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4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49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5" fontId="2" fillId="0" borderId="14" xfId="42" applyNumberFormat="1" applyFont="1" applyBorder="1" applyAlignment="1">
      <alignment horizontal="left"/>
    </xf>
    <xf numFmtId="0" fontId="9" fillId="0" borderId="49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5" fontId="2" fillId="0" borderId="49" xfId="42" applyNumberFormat="1" applyFont="1" applyBorder="1" applyAlignment="1">
      <alignment horizontal="left"/>
    </xf>
    <xf numFmtId="165" fontId="2" fillId="0" borderId="46" xfId="42" applyNumberFormat="1" applyFont="1" applyBorder="1" applyAlignment="1">
      <alignment horizontal="left"/>
    </xf>
    <xf numFmtId="165" fontId="2" fillId="0" borderId="42" xfId="42" applyNumberFormat="1" applyFont="1" applyBorder="1" applyAlignment="1">
      <alignment horizontal="left"/>
    </xf>
    <xf numFmtId="165" fontId="9" fillId="0" borderId="11" xfId="42" applyNumberFormat="1" applyFont="1" applyBorder="1" applyAlignment="1">
      <alignment horizontal="left"/>
    </xf>
    <xf numFmtId="165" fontId="2" fillId="0" borderId="49" xfId="42" applyNumberFormat="1" applyFont="1" applyBorder="1" applyAlignment="1">
      <alignment horizontal="left" shrinkToFit="1"/>
    </xf>
    <xf numFmtId="165" fontId="6" fillId="0" borderId="46" xfId="42" applyNumberFormat="1" applyFont="1" applyBorder="1" applyAlignment="1">
      <alignment horizontal="left" shrinkToFit="1"/>
    </xf>
    <xf numFmtId="165" fontId="6" fillId="0" borderId="42" xfId="42" applyNumberFormat="1" applyFont="1" applyBorder="1" applyAlignment="1">
      <alignment horizontal="left" shrinkToFit="1"/>
    </xf>
    <xf numFmtId="165" fontId="6" fillId="0" borderId="46" xfId="42" applyNumberFormat="1" applyFont="1" applyBorder="1" applyAlignment="1">
      <alignment horizontal="left"/>
    </xf>
    <xf numFmtId="165" fontId="6" fillId="0" borderId="42" xfId="42" applyNumberFormat="1" applyFont="1" applyBorder="1" applyAlignment="1">
      <alignment horizontal="left"/>
    </xf>
    <xf numFmtId="165" fontId="2" fillId="0" borderId="11" xfId="42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33" borderId="74" xfId="58" applyFont="1" applyFill="1" applyBorder="1" applyAlignment="1">
      <alignment horizontal="left"/>
      <protection/>
    </xf>
    <xf numFmtId="0" fontId="6" fillId="33" borderId="41" xfId="58" applyFont="1" applyFill="1" applyBorder="1" applyAlignment="1">
      <alignment horizontal="left"/>
      <protection/>
    </xf>
    <xf numFmtId="0" fontId="6" fillId="33" borderId="61" xfId="58" applyFont="1" applyFill="1" applyBorder="1" applyAlignment="1">
      <alignment horizontal="left"/>
      <protection/>
    </xf>
    <xf numFmtId="0" fontId="23" fillId="0" borderId="16" xfId="58" applyFont="1" applyBorder="1" applyAlignment="1">
      <alignment horizontal="center"/>
      <protection/>
    </xf>
    <xf numFmtId="0" fontId="23" fillId="0" borderId="17" xfId="58" applyFont="1" applyBorder="1" applyAlignment="1">
      <alignment horizontal="center"/>
      <protection/>
    </xf>
    <xf numFmtId="0" fontId="23" fillId="0" borderId="11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49" xfId="58" applyFont="1" applyBorder="1" applyAlignment="1">
      <alignment horizontal="left"/>
      <protection/>
    </xf>
    <xf numFmtId="0" fontId="2" fillId="0" borderId="46" xfId="58" applyFont="1" applyBorder="1" applyAlignment="1">
      <alignment horizontal="left"/>
      <protection/>
    </xf>
    <xf numFmtId="0" fontId="2" fillId="0" borderId="42" xfId="58" applyFont="1" applyBorder="1" applyAlignment="1">
      <alignment horizontal="left"/>
      <protection/>
    </xf>
    <xf numFmtId="0" fontId="6" fillId="0" borderId="0" xfId="58" applyFont="1" applyAlignment="1">
      <alignment horizontal="left"/>
      <protection/>
    </xf>
    <xf numFmtId="0" fontId="6" fillId="0" borderId="0" xfId="58" applyFont="1" applyAlignment="1">
      <alignment horizontal="center"/>
      <protection/>
    </xf>
    <xf numFmtId="0" fontId="23" fillId="0" borderId="11" xfId="58" applyFont="1" applyBorder="1" applyAlignment="1">
      <alignment horizontal="left" vertical="center"/>
      <protection/>
    </xf>
    <xf numFmtId="0" fontId="26" fillId="0" borderId="49" xfId="58" applyFont="1" applyBorder="1" applyAlignment="1">
      <alignment horizontal="center"/>
      <protection/>
    </xf>
    <xf numFmtId="0" fontId="26" fillId="0" borderId="46" xfId="58" applyFont="1" applyBorder="1" applyAlignment="1">
      <alignment horizontal="center"/>
      <protection/>
    </xf>
    <xf numFmtId="0" fontId="26" fillId="0" borderId="42" xfId="58" applyFont="1" applyBorder="1" applyAlignment="1">
      <alignment horizontal="center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49" xfId="58" applyFont="1" applyBorder="1" applyAlignment="1">
      <alignment horizontal="left" wrapText="1"/>
      <protection/>
    </xf>
    <xf numFmtId="0" fontId="2" fillId="0" borderId="46" xfId="58" applyFont="1" applyBorder="1" applyAlignment="1">
      <alignment horizontal="left" wrapText="1"/>
      <protection/>
    </xf>
    <xf numFmtId="0" fontId="2" fillId="0" borderId="42" xfId="58" applyFont="1" applyBorder="1" applyAlignment="1">
      <alignment horizontal="left" wrapText="1"/>
      <protection/>
    </xf>
    <xf numFmtId="0" fontId="6" fillId="0" borderId="49" xfId="58" applyFont="1" applyBorder="1" applyAlignment="1">
      <alignment horizontal="left" wrapText="1"/>
      <protection/>
    </xf>
    <xf numFmtId="0" fontId="6" fillId="0" borderId="46" xfId="58" applyFont="1" applyBorder="1" applyAlignment="1">
      <alignment horizontal="left" wrapText="1"/>
      <protection/>
    </xf>
    <xf numFmtId="0" fontId="6" fillId="0" borderId="42" xfId="58" applyFont="1" applyBorder="1" applyAlignment="1">
      <alignment horizontal="left" wrapText="1"/>
      <protection/>
    </xf>
    <xf numFmtId="0" fontId="6" fillId="0" borderId="49" xfId="58" applyFont="1" applyBorder="1" applyAlignment="1">
      <alignment/>
      <protection/>
    </xf>
    <xf numFmtId="0" fontId="6" fillId="0" borderId="46" xfId="58" applyFont="1" applyBorder="1" applyAlignment="1">
      <alignment/>
      <protection/>
    </xf>
    <xf numFmtId="0" fontId="6" fillId="0" borderId="42" xfId="58" applyFont="1" applyBorder="1" applyAlignment="1">
      <alignment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7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7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23" fillId="0" borderId="4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Border="1" applyAlignment="1">
      <alignment horizontal="left"/>
    </xf>
    <xf numFmtId="0" fontId="2" fillId="0" borderId="9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1" fillId="0" borderId="49" xfId="0" applyFont="1" applyBorder="1" applyAlignment="1">
      <alignment/>
    </xf>
    <xf numFmtId="0" fontId="91" fillId="0" borderId="46" xfId="0" applyFont="1" applyBorder="1" applyAlignment="1">
      <alignment/>
    </xf>
    <xf numFmtId="0" fontId="2" fillId="0" borderId="49" xfId="0" applyFont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0" xfId="0" applyFont="1" applyBorder="1" applyAlignment="1">
      <alignment/>
    </xf>
    <xf numFmtId="0" fontId="2" fillId="0" borderId="28" xfId="0" applyFont="1" applyBorder="1" applyAlignment="1">
      <alignment/>
    </xf>
    <xf numFmtId="0" fontId="6" fillId="33" borderId="53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6" fillId="33" borderId="52" xfId="0" applyFont="1" applyFill="1" applyBorder="1" applyAlignment="1">
      <alignment horizontal="left"/>
    </xf>
    <xf numFmtId="0" fontId="90" fillId="33" borderId="56" xfId="0" applyFont="1" applyFill="1" applyBorder="1" applyAlignment="1">
      <alignment/>
    </xf>
    <xf numFmtId="0" fontId="90" fillId="33" borderId="44" xfId="0" applyFont="1" applyFill="1" applyBorder="1" applyAlignment="1">
      <alignment/>
    </xf>
    <xf numFmtId="0" fontId="91" fillId="0" borderId="54" xfId="0" applyFont="1" applyBorder="1" applyAlignment="1">
      <alignment/>
    </xf>
    <xf numFmtId="0" fontId="91" fillId="0" borderId="4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6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90" fillId="33" borderId="53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91" fillId="0" borderId="16" xfId="0" applyFont="1" applyBorder="1" applyAlignment="1">
      <alignment/>
    </xf>
    <xf numFmtId="0" fontId="91" fillId="0" borderId="70" xfId="0" applyFont="1" applyBorder="1" applyAlignment="1">
      <alignment/>
    </xf>
    <xf numFmtId="0" fontId="91" fillId="0" borderId="100" xfId="0" applyFont="1" applyBorder="1" applyAlignment="1">
      <alignment/>
    </xf>
    <xf numFmtId="0" fontId="91" fillId="0" borderId="28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70" xfId="0" applyFont="1" applyBorder="1" applyAlignment="1">
      <alignment/>
    </xf>
    <xf numFmtId="0" fontId="2" fillId="0" borderId="50" xfId="0" applyFont="1" applyBorder="1" applyAlignment="1">
      <alignment/>
    </xf>
    <xf numFmtId="0" fontId="6" fillId="0" borderId="6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75" xfId="0" applyFont="1" applyBorder="1" applyAlignment="1">
      <alignment horizontal="left"/>
    </xf>
    <xf numFmtId="0" fontId="2" fillId="0" borderId="6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0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6" fillId="33" borderId="43" xfId="0" applyFont="1" applyFill="1" applyBorder="1" applyAlignment="1">
      <alignment horizontal="left"/>
    </xf>
    <xf numFmtId="0" fontId="6" fillId="33" borderId="44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left"/>
    </xf>
    <xf numFmtId="0" fontId="6" fillId="0" borderId="5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1" fillId="0" borderId="73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1" fillId="0" borderId="50" xfId="0" applyFont="1" applyBorder="1" applyAlignment="1">
      <alignment/>
    </xf>
    <xf numFmtId="0" fontId="91" fillId="0" borderId="77" xfId="0" applyFont="1" applyBorder="1" applyAlignment="1">
      <alignment/>
    </xf>
    <xf numFmtId="0" fontId="0" fillId="0" borderId="42" xfId="0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" borderId="56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8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67" xfId="0" applyFont="1" applyBorder="1" applyAlignment="1">
      <alignment/>
    </xf>
    <xf numFmtId="0" fontId="6" fillId="33" borderId="2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53" xfId="0" applyFont="1" applyBorder="1" applyAlignment="1">
      <alignment horizontal="left"/>
    </xf>
    <xf numFmtId="0" fontId="6" fillId="35" borderId="39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 horizontal="left"/>
      <protection/>
    </xf>
    <xf numFmtId="0" fontId="2" fillId="35" borderId="49" xfId="58" applyFont="1" applyFill="1" applyBorder="1" applyAlignment="1">
      <alignment horizontal="left"/>
      <protection/>
    </xf>
    <xf numFmtId="0" fontId="2" fillId="35" borderId="46" xfId="58" applyFont="1" applyFill="1" applyBorder="1" applyAlignment="1">
      <alignment horizontal="left"/>
      <protection/>
    </xf>
    <xf numFmtId="0" fontId="2" fillId="35" borderId="42" xfId="58" applyFont="1" applyFill="1" applyBorder="1" applyAlignment="1">
      <alignment horizontal="left"/>
      <protection/>
    </xf>
    <xf numFmtId="0" fontId="6" fillId="35" borderId="39" xfId="58" applyFont="1" applyFill="1" applyBorder="1" applyAlignment="1">
      <alignment/>
      <protection/>
    </xf>
    <xf numFmtId="0" fontId="3" fillId="0" borderId="0" xfId="58" applyFont="1" applyAlignment="1">
      <alignment horizontal="right"/>
      <protection/>
    </xf>
    <xf numFmtId="0" fontId="28" fillId="0" borderId="0" xfId="58" applyFont="1" applyAlignment="1">
      <alignment horizontal="center"/>
      <protection/>
    </xf>
    <xf numFmtId="0" fontId="28" fillId="0" borderId="0" xfId="58" applyFont="1" applyAlignment="1">
      <alignment horizontal="center" wrapText="1"/>
      <protection/>
    </xf>
    <xf numFmtId="0" fontId="2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71" xfId="58" applyFont="1" applyBorder="1" applyAlignment="1">
      <alignment horizontal="center" vertical="center"/>
      <protection/>
    </xf>
    <xf numFmtId="0" fontId="2" fillId="0" borderId="84" xfId="58" applyFont="1" applyBorder="1" applyAlignment="1">
      <alignment horizontal="center" vertical="center"/>
      <protection/>
    </xf>
    <xf numFmtId="49" fontId="2" fillId="0" borderId="49" xfId="58" applyNumberFormat="1" applyFont="1" applyFill="1" applyBorder="1" applyAlignment="1">
      <alignment horizontal="left"/>
      <protection/>
    </xf>
    <xf numFmtId="49" fontId="2" fillId="0" borderId="46" xfId="58" applyNumberFormat="1" applyFont="1" applyFill="1" applyBorder="1" applyAlignment="1">
      <alignment horizontal="left"/>
      <protection/>
    </xf>
    <xf numFmtId="49" fontId="2" fillId="0" borderId="42" xfId="58" applyNumberFormat="1" applyFont="1" applyFill="1" applyBorder="1" applyAlignment="1">
      <alignment horizontal="left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6" fillId="0" borderId="13" xfId="58" applyFont="1" applyBorder="1" applyAlignment="1">
      <alignment/>
      <protection/>
    </xf>
    <xf numFmtId="49" fontId="2" fillId="0" borderId="70" xfId="58" applyNumberFormat="1" applyFont="1" applyFill="1" applyBorder="1" applyAlignment="1">
      <alignment horizontal="left"/>
      <protection/>
    </xf>
    <xf numFmtId="49" fontId="2" fillId="0" borderId="50" xfId="58" applyNumberFormat="1" applyFont="1" applyFill="1" applyBorder="1" applyAlignment="1">
      <alignment horizontal="left"/>
      <protection/>
    </xf>
    <xf numFmtId="49" fontId="2" fillId="0" borderId="67" xfId="58" applyNumberFormat="1" applyFont="1" applyFill="1" applyBorder="1" applyAlignment="1">
      <alignment horizontal="left"/>
      <protection/>
    </xf>
    <xf numFmtId="0" fontId="2" fillId="0" borderId="49" xfId="58" applyFont="1" applyFill="1" applyBorder="1" applyAlignment="1">
      <alignment horizontal="left"/>
      <protection/>
    </xf>
    <xf numFmtId="0" fontId="2" fillId="0" borderId="46" xfId="58" applyFont="1" applyFill="1" applyBorder="1" applyAlignment="1">
      <alignment horizontal="left"/>
      <protection/>
    </xf>
    <xf numFmtId="0" fontId="2" fillId="0" borderId="42" xfId="58" applyFont="1" applyFill="1" applyBorder="1" applyAlignment="1">
      <alignment horizontal="left"/>
      <protection/>
    </xf>
    <xf numFmtId="0" fontId="2" fillId="0" borderId="70" xfId="58" applyFont="1" applyFill="1" applyBorder="1" applyAlignment="1">
      <alignment horizontal="left"/>
      <protection/>
    </xf>
    <xf numFmtId="0" fontId="2" fillId="0" borderId="50" xfId="58" applyFont="1" applyFill="1" applyBorder="1" applyAlignment="1">
      <alignment horizontal="left"/>
      <protection/>
    </xf>
    <xf numFmtId="0" fontId="2" fillId="0" borderId="67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/>
      <protection/>
    </xf>
    <xf numFmtId="49" fontId="2" fillId="35" borderId="49" xfId="58" applyNumberFormat="1" applyFont="1" applyFill="1" applyBorder="1" applyAlignment="1">
      <alignment horizontal="left"/>
      <protection/>
    </xf>
    <xf numFmtId="49" fontId="2" fillId="35" borderId="46" xfId="58" applyNumberFormat="1" applyFont="1" applyFill="1" applyBorder="1" applyAlignment="1">
      <alignment horizontal="left"/>
      <protection/>
    </xf>
    <xf numFmtId="49" fontId="2" fillId="35" borderId="42" xfId="58" applyNumberFormat="1" applyFont="1" applyFill="1" applyBorder="1" applyAlignment="1">
      <alignment horizontal="left"/>
      <protection/>
    </xf>
    <xf numFmtId="0" fontId="2" fillId="0" borderId="11" xfId="58" applyFont="1" applyFill="1" applyBorder="1" applyAlignment="1">
      <alignment/>
      <protection/>
    </xf>
    <xf numFmtId="0" fontId="21" fillId="0" borderId="19" xfId="58" applyBorder="1" applyAlignment="1">
      <alignment horizontal="center"/>
      <protection/>
    </xf>
    <xf numFmtId="0" fontId="21" fillId="0" borderId="13" xfId="58" applyBorder="1" applyAlignment="1">
      <alignment horizontal="center"/>
      <protection/>
    </xf>
    <xf numFmtId="0" fontId="21" fillId="0" borderId="16" xfId="58" applyBorder="1" applyAlignment="1">
      <alignment horizontal="center"/>
      <protection/>
    </xf>
    <xf numFmtId="0" fontId="6" fillId="0" borderId="49" xfId="58" applyFont="1" applyBorder="1" applyAlignment="1">
      <alignment horizontal="center"/>
      <protection/>
    </xf>
    <xf numFmtId="0" fontId="6" fillId="0" borderId="46" xfId="58" applyFont="1" applyBorder="1" applyAlignment="1">
      <alignment horizontal="center"/>
      <protection/>
    </xf>
    <xf numFmtId="0" fontId="6" fillId="0" borderId="42" xfId="58" applyFont="1" applyBorder="1" applyAlignment="1">
      <alignment horizontal="center"/>
      <protection/>
    </xf>
    <xf numFmtId="0" fontId="6" fillId="35" borderId="56" xfId="58" applyFont="1" applyFill="1" applyBorder="1" applyAlignment="1">
      <alignment horizontal="left"/>
      <protection/>
    </xf>
    <xf numFmtId="0" fontId="6" fillId="35" borderId="44" xfId="58" applyFont="1" applyFill="1" applyBorder="1" applyAlignment="1">
      <alignment horizontal="left"/>
      <protection/>
    </xf>
    <xf numFmtId="0" fontId="6" fillId="35" borderId="53" xfId="58" applyFont="1" applyFill="1" applyBorder="1" applyAlignment="1">
      <alignment horizontal="left"/>
      <protection/>
    </xf>
    <xf numFmtId="0" fontId="2" fillId="35" borderId="56" xfId="58" applyFont="1" applyFill="1" applyBorder="1" applyAlignment="1">
      <alignment horizontal="left"/>
      <protection/>
    </xf>
    <xf numFmtId="0" fontId="2" fillId="35" borderId="44" xfId="58" applyFont="1" applyFill="1" applyBorder="1" applyAlignment="1">
      <alignment horizontal="left"/>
      <protection/>
    </xf>
    <xf numFmtId="0" fontId="2" fillId="35" borderId="53" xfId="58" applyFont="1" applyFill="1" applyBorder="1" applyAlignment="1">
      <alignment horizontal="left"/>
      <protection/>
    </xf>
    <xf numFmtId="0" fontId="2" fillId="0" borderId="49" xfId="58" applyFont="1" applyFill="1" applyBorder="1" applyAlignment="1">
      <alignment/>
      <protection/>
    </xf>
    <xf numFmtId="0" fontId="2" fillId="0" borderId="46" xfId="58" applyFont="1" applyFill="1" applyBorder="1" applyAlignment="1">
      <alignment/>
      <protection/>
    </xf>
    <xf numFmtId="0" fontId="2" fillId="0" borderId="42" xfId="58" applyFont="1" applyFill="1" applyBorder="1" applyAlignment="1">
      <alignment/>
      <protection/>
    </xf>
    <xf numFmtId="0" fontId="25" fillId="0" borderId="0" xfId="0" applyFont="1" applyBorder="1" applyAlignment="1">
      <alignment horizontal="right"/>
    </xf>
    <xf numFmtId="0" fontId="25" fillId="0" borderId="6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49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4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6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7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2" fillId="0" borderId="5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5" fillId="0" borderId="50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0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6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/>
    </xf>
    <xf numFmtId="0" fontId="6" fillId="0" borderId="6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71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9" xfId="0" applyFont="1" applyBorder="1" applyAlignment="1">
      <alignment wrapText="1"/>
    </xf>
    <xf numFmtId="0" fontId="2" fillId="0" borderId="4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73" fillId="0" borderId="11" xfId="59" applyBorder="1" applyAlignment="1">
      <alignment horizontal="left"/>
      <protection/>
    </xf>
    <xf numFmtId="0" fontId="86" fillId="0" borderId="49" xfId="59" applyFont="1" applyBorder="1" applyAlignment="1">
      <alignment horizontal="center"/>
      <protection/>
    </xf>
    <xf numFmtId="0" fontId="86" fillId="0" borderId="46" xfId="59" applyFont="1" applyBorder="1" applyAlignment="1">
      <alignment horizontal="center"/>
      <protection/>
    </xf>
    <xf numFmtId="0" fontId="86" fillId="0" borderId="42" xfId="59" applyFont="1" applyBorder="1" applyAlignment="1">
      <alignment horizontal="center"/>
      <protection/>
    </xf>
    <xf numFmtId="0" fontId="73" fillId="0" borderId="0" xfId="59" applyAlignment="1">
      <alignment horizontal="left"/>
      <protection/>
    </xf>
    <xf numFmtId="0" fontId="73" fillId="0" borderId="0" xfId="59" applyAlignment="1">
      <alignment horizontal="center"/>
      <protection/>
    </xf>
    <xf numFmtId="0" fontId="98" fillId="0" borderId="49" xfId="59" applyFont="1" applyBorder="1" applyAlignment="1">
      <alignment horizontal="center"/>
      <protection/>
    </xf>
    <xf numFmtId="0" fontId="98" fillId="0" borderId="46" xfId="59" applyFont="1" applyBorder="1" applyAlignment="1">
      <alignment horizontal="center"/>
      <protection/>
    </xf>
    <xf numFmtId="0" fontId="98" fillId="0" borderId="42" xfId="59" applyFont="1" applyBorder="1" applyAlignment="1">
      <alignment horizontal="center"/>
      <protection/>
    </xf>
    <xf numFmtId="0" fontId="73" fillId="33" borderId="11" xfId="59" applyFill="1" applyBorder="1" applyAlignment="1">
      <alignment horizontal="left"/>
      <protection/>
    </xf>
    <xf numFmtId="0" fontId="1" fillId="0" borderId="4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1" xfId="0" applyBorder="1" applyAlignment="1">
      <alignment/>
    </xf>
    <xf numFmtId="0" fontId="7" fillId="0" borderId="67" xfId="0" applyFont="1" applyBorder="1" applyAlignment="1">
      <alignment/>
    </xf>
    <xf numFmtId="0" fontId="0" fillId="0" borderId="16" xfId="0" applyBorder="1" applyAlignment="1">
      <alignment/>
    </xf>
    <xf numFmtId="0" fontId="7" fillId="0" borderId="61" xfId="0" applyFont="1" applyBorder="1" applyAlignment="1">
      <alignment/>
    </xf>
    <xf numFmtId="0" fontId="0" fillId="0" borderId="14" xfId="0" applyBorder="1" applyAlignment="1">
      <alignment/>
    </xf>
    <xf numFmtId="0" fontId="0" fillId="0" borderId="42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9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92" xfId="0" applyFill="1" applyBorder="1" applyAlignment="1">
      <alignment horizontal="center"/>
    </xf>
    <xf numFmtId="0" fontId="1" fillId="0" borderId="49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0" fillId="0" borderId="11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/>
    </xf>
    <xf numFmtId="0" fontId="6" fillId="36" borderId="46" xfId="0" applyFont="1" applyFill="1" applyBorder="1" applyAlignment="1">
      <alignment horizontal="left"/>
    </xf>
    <xf numFmtId="0" fontId="6" fillId="36" borderId="42" xfId="0" applyFont="1" applyFill="1" applyBorder="1" applyAlignment="1">
      <alignment horizontal="left"/>
    </xf>
    <xf numFmtId="0" fontId="6" fillId="36" borderId="38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0" fillId="0" borderId="92" xfId="0" applyBorder="1" applyAlignment="1">
      <alignment/>
    </xf>
    <xf numFmtId="0" fontId="0" fillId="0" borderId="88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8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7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73" xfId="0" applyFont="1" applyFill="1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87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55" xfId="0" applyFont="1" applyBorder="1" applyAlignment="1">
      <alignment/>
    </xf>
    <xf numFmtId="0" fontId="6" fillId="0" borderId="46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73" xfId="0" applyFont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90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8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84" xfId="0" applyFont="1" applyBorder="1" applyAlignment="1">
      <alignment horizontal="center" vertical="center"/>
    </xf>
    <xf numFmtId="0" fontId="103" fillId="0" borderId="49" xfId="59" applyFont="1" applyBorder="1">
      <alignment/>
      <protection/>
    </xf>
    <xf numFmtId="0" fontId="103" fillId="0" borderId="46" xfId="59" applyFont="1" applyBorder="1">
      <alignment/>
      <protection/>
    </xf>
    <xf numFmtId="0" fontId="103" fillId="0" borderId="42" xfId="59" applyFont="1" applyBorder="1">
      <alignment/>
      <protection/>
    </xf>
    <xf numFmtId="0" fontId="103" fillId="0" borderId="49" xfId="59" applyFont="1" applyBorder="1" applyAlignment="1">
      <alignment horizontal="left"/>
      <protection/>
    </xf>
    <xf numFmtId="0" fontId="103" fillId="0" borderId="46" xfId="59" applyFont="1" applyBorder="1" applyAlignment="1">
      <alignment horizontal="left"/>
      <protection/>
    </xf>
    <xf numFmtId="0" fontId="103" fillId="0" borderId="42" xfId="59" applyFont="1" applyBorder="1" applyAlignment="1">
      <alignment horizontal="left"/>
      <protection/>
    </xf>
    <xf numFmtId="0" fontId="102" fillId="0" borderId="0" xfId="59" applyFont="1" applyBorder="1" applyAlignment="1">
      <alignment horizontal="center"/>
      <protection/>
    </xf>
    <xf numFmtId="0" fontId="73" fillId="0" borderId="19" xfId="59" applyBorder="1" applyAlignment="1">
      <alignment horizontal="center"/>
      <protection/>
    </xf>
    <xf numFmtId="0" fontId="73" fillId="0" borderId="13" xfId="59" applyBorder="1" applyAlignment="1">
      <alignment horizontal="center"/>
      <protection/>
    </xf>
    <xf numFmtId="0" fontId="73" fillId="0" borderId="16" xfId="59" applyBorder="1" applyAlignment="1">
      <alignment horizontal="center"/>
      <protection/>
    </xf>
    <xf numFmtId="0" fontId="73" fillId="0" borderId="54" xfId="59" applyBorder="1" applyAlignment="1">
      <alignment horizontal="center"/>
      <protection/>
    </xf>
    <xf numFmtId="0" fontId="73" fillId="0" borderId="47" xfId="59" applyBorder="1" applyAlignment="1">
      <alignment horizontal="center"/>
      <protection/>
    </xf>
    <xf numFmtId="0" fontId="73" fillId="0" borderId="48" xfId="59" applyBorder="1" applyAlignment="1">
      <alignment horizontal="center"/>
      <protection/>
    </xf>
    <xf numFmtId="0" fontId="73" fillId="0" borderId="69" xfId="59" applyBorder="1" applyAlignment="1">
      <alignment horizontal="center"/>
      <protection/>
    </xf>
    <xf numFmtId="0" fontId="73" fillId="0" borderId="0" xfId="59" applyBorder="1" applyAlignment="1">
      <alignment horizontal="center"/>
      <protection/>
    </xf>
    <xf numFmtId="0" fontId="73" fillId="0" borderId="12" xfId="59" applyBorder="1" applyAlignment="1">
      <alignment horizontal="center"/>
      <protection/>
    </xf>
    <xf numFmtId="0" fontId="73" fillId="0" borderId="70" xfId="59" applyBorder="1" applyAlignment="1">
      <alignment horizontal="center"/>
      <protection/>
    </xf>
    <xf numFmtId="0" fontId="73" fillId="0" borderId="50" xfId="59" applyBorder="1" applyAlignment="1">
      <alignment horizontal="center"/>
      <protection/>
    </xf>
    <xf numFmtId="0" fontId="73" fillId="0" borderId="67" xfId="59" applyBorder="1" applyAlignment="1">
      <alignment horizontal="center"/>
      <protection/>
    </xf>
    <xf numFmtId="0" fontId="97" fillId="0" borderId="49" xfId="59" applyFont="1" applyBorder="1" applyAlignment="1">
      <alignment horizontal="center"/>
      <protection/>
    </xf>
    <xf numFmtId="0" fontId="97" fillId="0" borderId="46" xfId="59" applyFont="1" applyBorder="1" applyAlignment="1">
      <alignment horizontal="center"/>
      <protection/>
    </xf>
    <xf numFmtId="0" fontId="97" fillId="0" borderId="42" xfId="59" applyFont="1" applyBorder="1" applyAlignment="1">
      <alignment horizontal="center"/>
      <protection/>
    </xf>
    <xf numFmtId="0" fontId="97" fillId="0" borderId="43" xfId="59" applyFont="1" applyBorder="1" applyAlignment="1">
      <alignment horizontal="center"/>
      <protection/>
    </xf>
    <xf numFmtId="0" fontId="97" fillId="0" borderId="44" xfId="59" applyFont="1" applyBorder="1" applyAlignment="1">
      <alignment horizontal="center"/>
      <protection/>
    </xf>
    <xf numFmtId="0" fontId="97" fillId="0" borderId="45" xfId="59" applyFont="1" applyBorder="1" applyAlignment="1">
      <alignment horizontal="center"/>
      <protection/>
    </xf>
    <xf numFmtId="0" fontId="102" fillId="0" borderId="56" xfId="59" applyFont="1" applyBorder="1" applyAlignment="1">
      <alignment horizontal="left"/>
      <protection/>
    </xf>
    <xf numFmtId="0" fontId="102" fillId="0" borderId="44" xfId="59" applyFont="1" applyBorder="1" applyAlignment="1">
      <alignment horizontal="left"/>
      <protection/>
    </xf>
    <xf numFmtId="0" fontId="102" fillId="0" borderId="53" xfId="59" applyFont="1" applyBorder="1" applyAlignment="1">
      <alignment horizontal="left"/>
      <protection/>
    </xf>
    <xf numFmtId="0" fontId="103" fillId="0" borderId="49" xfId="59" applyFont="1" applyFill="1" applyBorder="1" applyAlignment="1">
      <alignment horizontal="left"/>
      <protection/>
    </xf>
    <xf numFmtId="0" fontId="103" fillId="0" borderId="46" xfId="59" applyFont="1" applyFill="1" applyBorder="1" applyAlignment="1">
      <alignment horizontal="left"/>
      <protection/>
    </xf>
    <xf numFmtId="0" fontId="103" fillId="0" borderId="42" xfId="59" applyFont="1" applyFill="1" applyBorder="1" applyAlignment="1">
      <alignment horizontal="left"/>
      <protection/>
    </xf>
    <xf numFmtId="0" fontId="73" fillId="0" borderId="0" xfId="59" applyAlignment="1">
      <alignment/>
      <protection/>
    </xf>
    <xf numFmtId="0" fontId="103" fillId="0" borderId="74" xfId="59" applyFont="1" applyBorder="1" applyAlignment="1">
      <alignment horizontal="left"/>
      <protection/>
    </xf>
    <xf numFmtId="0" fontId="103" fillId="0" borderId="41" xfId="59" applyFont="1" applyBorder="1" applyAlignment="1">
      <alignment horizontal="left"/>
      <protection/>
    </xf>
    <xf numFmtId="0" fontId="103" fillId="0" borderId="61" xfId="59" applyFont="1" applyBorder="1" applyAlignment="1">
      <alignment horizontal="left"/>
      <protection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6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71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1" fillId="0" borderId="16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zoomScalePageLayoutView="0" workbookViewId="0" topLeftCell="A1">
      <selection activeCell="B55" sqref="B55:H55"/>
    </sheetView>
  </sheetViews>
  <sheetFormatPr defaultColWidth="9.140625" defaultRowHeight="12.75"/>
  <cols>
    <col min="1" max="1" width="3.00390625" style="0" customWidth="1"/>
    <col min="2" max="2" width="3.7109375" style="0" customWidth="1"/>
    <col min="4" max="4" width="11.7109375" style="0" customWidth="1"/>
    <col min="5" max="5" width="26.140625" style="0" customWidth="1"/>
    <col min="6" max="6" width="9.57421875" style="0" customWidth="1"/>
    <col min="7" max="7" width="9.8515625" style="0" customWidth="1"/>
    <col min="8" max="8" width="9.7109375" style="0" customWidth="1"/>
    <col min="9" max="9" width="7.57421875" style="0" customWidth="1"/>
    <col min="10" max="10" width="9.00390625" style="0" customWidth="1"/>
    <col min="12" max="12" width="9.8515625" style="0" bestFit="1" customWidth="1"/>
  </cols>
  <sheetData>
    <row r="1" spans="8:11" ht="12.75">
      <c r="H1" s="1096"/>
      <c r="I1" s="1096"/>
      <c r="J1" s="1096"/>
      <c r="K1" s="9"/>
    </row>
    <row r="2" spans="2:11" ht="12.75" customHeight="1">
      <c r="B2" s="1097" t="s">
        <v>44</v>
      </c>
      <c r="C2" s="1097"/>
      <c r="D2" s="1097"/>
      <c r="E2" s="1097"/>
      <c r="F2" s="1097"/>
      <c r="G2" s="1097"/>
      <c r="H2" s="1097"/>
      <c r="I2" s="1097"/>
      <c r="J2" s="1097"/>
      <c r="K2" s="2"/>
    </row>
    <row r="3" spans="2:11" ht="16.5" customHeight="1">
      <c r="B3" s="1097" t="s">
        <v>26</v>
      </c>
      <c r="C3" s="1097"/>
      <c r="D3" s="1097"/>
      <c r="E3" s="1097"/>
      <c r="F3" s="1097"/>
      <c r="G3" s="1097"/>
      <c r="H3" s="1097"/>
      <c r="I3" s="1097"/>
      <c r="J3" s="1097"/>
      <c r="K3" s="2"/>
    </row>
    <row r="4" spans="2:11" ht="16.5" customHeight="1">
      <c r="B4" s="42"/>
      <c r="C4" s="42"/>
      <c r="D4" s="42"/>
      <c r="E4" s="42"/>
      <c r="F4" s="42"/>
      <c r="G4" s="42"/>
      <c r="H4" s="42"/>
      <c r="I4" s="42"/>
      <c r="J4" s="42"/>
      <c r="K4" s="2"/>
    </row>
    <row r="5" spans="2:11" ht="16.5" customHeight="1" thickBot="1">
      <c r="B5" s="42"/>
      <c r="C5" s="42"/>
      <c r="D5" s="42"/>
      <c r="E5" s="42"/>
      <c r="F5" s="42"/>
      <c r="G5" s="42"/>
      <c r="H5" s="42"/>
      <c r="I5" s="97" t="s">
        <v>4</v>
      </c>
      <c r="J5" s="97"/>
      <c r="K5" s="2"/>
    </row>
    <row r="6" spans="1:9" ht="13.5" thickBot="1">
      <c r="A6" s="1110"/>
      <c r="B6" s="1107" t="s">
        <v>41</v>
      </c>
      <c r="C6" s="1108"/>
      <c r="D6" s="1108"/>
      <c r="E6" s="1109"/>
      <c r="F6" s="43" t="s">
        <v>27</v>
      </c>
      <c r="G6" s="43" t="s">
        <v>28</v>
      </c>
      <c r="H6" s="43" t="s">
        <v>29</v>
      </c>
      <c r="I6" s="43" t="s">
        <v>30</v>
      </c>
    </row>
    <row r="7" spans="1:10" ht="15.75" customHeight="1">
      <c r="A7" s="1111"/>
      <c r="B7" s="1101" t="s">
        <v>7</v>
      </c>
      <c r="C7" s="1102"/>
      <c r="D7" s="1102"/>
      <c r="E7" s="1102"/>
      <c r="F7" s="29" t="s">
        <v>0</v>
      </c>
      <c r="G7" s="29" t="s">
        <v>1</v>
      </c>
      <c r="H7" s="1098" t="s">
        <v>2</v>
      </c>
      <c r="I7" s="1099"/>
      <c r="J7" s="6"/>
    </row>
    <row r="8" spans="1:10" ht="33" customHeight="1" thickBot="1">
      <c r="A8" s="1112"/>
      <c r="B8" s="1103"/>
      <c r="C8" s="1104"/>
      <c r="D8" s="1104"/>
      <c r="E8" s="1104"/>
      <c r="F8" s="1100" t="s">
        <v>3</v>
      </c>
      <c r="G8" s="1100"/>
      <c r="H8" s="38" t="s">
        <v>5</v>
      </c>
      <c r="I8" s="39" t="s">
        <v>21</v>
      </c>
      <c r="J8" s="6"/>
    </row>
    <row r="9" spans="1:11" ht="16.5" customHeight="1">
      <c r="A9" s="85">
        <v>1</v>
      </c>
      <c r="B9" s="1086" t="s">
        <v>6</v>
      </c>
      <c r="C9" s="1087"/>
      <c r="D9" s="1087"/>
      <c r="E9" s="1087"/>
      <c r="F9" s="44"/>
      <c r="G9" s="44"/>
      <c r="H9" s="44"/>
      <c r="I9" s="45"/>
      <c r="J9" s="6"/>
      <c r="K9" s="37"/>
    </row>
    <row r="10" spans="1:10" ht="12.75" customHeight="1">
      <c r="A10" s="81">
        <v>2</v>
      </c>
      <c r="B10" s="1105" t="s">
        <v>23</v>
      </c>
      <c r="C10" s="1106"/>
      <c r="D10" s="1106"/>
      <c r="E10" s="1106"/>
      <c r="F10" s="33">
        <f>F11+F12+F13+F14</f>
        <v>527981</v>
      </c>
      <c r="G10" s="33">
        <f>G11+G12+G13+G14</f>
        <v>595718</v>
      </c>
      <c r="H10" s="33">
        <f>H11+H12+H13+H14</f>
        <v>543031</v>
      </c>
      <c r="I10" s="65">
        <f>H10/G10*100</f>
        <v>91.15571461664747</v>
      </c>
      <c r="J10" s="6"/>
    </row>
    <row r="11" spans="1:10" ht="12.75" customHeight="1">
      <c r="A11" s="81">
        <v>3</v>
      </c>
      <c r="B11" s="1055" t="s">
        <v>47</v>
      </c>
      <c r="C11" s="1051"/>
      <c r="D11" s="1051"/>
      <c r="E11" s="1051"/>
      <c r="F11" s="34">
        <v>73690</v>
      </c>
      <c r="G11" s="34">
        <v>77097</v>
      </c>
      <c r="H11" s="30">
        <v>85346</v>
      </c>
      <c r="I11" s="66">
        <f>H11/G11*100</f>
        <v>110.69950841148164</v>
      </c>
      <c r="J11" s="3"/>
    </row>
    <row r="12" spans="1:10" ht="13.5" customHeight="1">
      <c r="A12" s="81">
        <v>4</v>
      </c>
      <c r="B12" s="1055" t="s">
        <v>45</v>
      </c>
      <c r="C12" s="1051"/>
      <c r="D12" s="1051"/>
      <c r="E12" s="1051"/>
      <c r="F12" s="34">
        <v>258563</v>
      </c>
      <c r="G12" s="34">
        <v>249713</v>
      </c>
      <c r="H12" s="30">
        <v>205904</v>
      </c>
      <c r="I12" s="66">
        <f aca="true" t="shared" si="0" ref="I12:I27">H12/G12*100</f>
        <v>82.4562597862346</v>
      </c>
      <c r="J12" s="3"/>
    </row>
    <row r="13" spans="1:10" ht="12.75" customHeight="1">
      <c r="A13" s="81">
        <v>5</v>
      </c>
      <c r="B13" s="1055" t="s">
        <v>46</v>
      </c>
      <c r="C13" s="1051"/>
      <c r="D13" s="1051"/>
      <c r="E13" s="1051"/>
      <c r="F13" s="34">
        <v>170529</v>
      </c>
      <c r="G13" s="34">
        <v>230419</v>
      </c>
      <c r="H13" s="30">
        <v>210419</v>
      </c>
      <c r="I13" s="66">
        <f t="shared" si="0"/>
        <v>91.32016022984216</v>
      </c>
      <c r="J13" s="3"/>
    </row>
    <row r="14" spans="1:10" ht="12.75" customHeight="1">
      <c r="A14" s="81">
        <v>6</v>
      </c>
      <c r="B14" s="1055" t="s">
        <v>48</v>
      </c>
      <c r="C14" s="1051"/>
      <c r="D14" s="1051"/>
      <c r="E14" s="1051"/>
      <c r="F14" s="34">
        <v>25199</v>
      </c>
      <c r="G14" s="34">
        <v>38489</v>
      </c>
      <c r="H14" s="30">
        <f>38763+2599</f>
        <v>41362</v>
      </c>
      <c r="I14" s="66">
        <f t="shared" si="0"/>
        <v>107.46447036815714</v>
      </c>
      <c r="J14" s="3"/>
    </row>
    <row r="15" spans="1:10" ht="12.75" customHeight="1">
      <c r="A15" s="81">
        <v>7</v>
      </c>
      <c r="B15" s="1078" t="s">
        <v>22</v>
      </c>
      <c r="C15" s="1079"/>
      <c r="D15" s="1079"/>
      <c r="E15" s="1080"/>
      <c r="F15" s="48">
        <f>F16+F17+F18</f>
        <v>17717</v>
      </c>
      <c r="G15" s="48">
        <f>G16+G17+G18</f>
        <v>31104</v>
      </c>
      <c r="H15" s="33">
        <f>H16+H17+H18</f>
        <v>18664</v>
      </c>
      <c r="I15" s="93">
        <f>H15/G15*100</f>
        <v>60.005144032921805</v>
      </c>
      <c r="J15" s="3"/>
    </row>
    <row r="16" spans="1:11" ht="12.75" customHeight="1">
      <c r="A16" s="81">
        <v>8</v>
      </c>
      <c r="B16" s="1113" t="s">
        <v>49</v>
      </c>
      <c r="C16" s="1114"/>
      <c r="D16" s="1114"/>
      <c r="E16" s="1114"/>
      <c r="F16" s="30">
        <f>13117+4000</f>
        <v>17117</v>
      </c>
      <c r="G16" s="30">
        <f>13117+4000</f>
        <v>17117</v>
      </c>
      <c r="H16" s="35">
        <f>4540+20</f>
        <v>4560</v>
      </c>
      <c r="I16" s="66">
        <f t="shared" si="0"/>
        <v>26.640182274931355</v>
      </c>
      <c r="J16" s="3"/>
      <c r="K16" s="32"/>
    </row>
    <row r="17" spans="1:10" ht="12.75" customHeight="1">
      <c r="A17" s="81">
        <v>9</v>
      </c>
      <c r="B17" s="1113" t="s">
        <v>50</v>
      </c>
      <c r="C17" s="1114"/>
      <c r="D17" s="1114"/>
      <c r="E17" s="1114"/>
      <c r="F17" s="30">
        <v>0</v>
      </c>
      <c r="G17" s="30">
        <v>13387</v>
      </c>
      <c r="H17" s="30">
        <v>13387</v>
      </c>
      <c r="I17" s="66">
        <f t="shared" si="0"/>
        <v>100</v>
      </c>
      <c r="J17" s="1"/>
    </row>
    <row r="18" spans="1:10" ht="12.75" customHeight="1">
      <c r="A18" s="1057">
        <v>10</v>
      </c>
      <c r="B18" s="1115" t="s">
        <v>9</v>
      </c>
      <c r="C18" s="1116"/>
      <c r="D18" s="1116"/>
      <c r="E18" s="1117"/>
      <c r="F18" s="1059">
        <v>600</v>
      </c>
      <c r="G18" s="1059">
        <v>600</v>
      </c>
      <c r="H18" s="1059">
        <v>717</v>
      </c>
      <c r="I18" s="1061">
        <f t="shared" si="0"/>
        <v>119.5</v>
      </c>
      <c r="J18" s="1"/>
    </row>
    <row r="19" spans="1:10" ht="12.75" customHeight="1">
      <c r="A19" s="1058"/>
      <c r="B19" s="1118" t="s">
        <v>51</v>
      </c>
      <c r="C19" s="1119"/>
      <c r="D19" s="1119"/>
      <c r="E19" s="1120"/>
      <c r="F19" s="1060"/>
      <c r="G19" s="1060"/>
      <c r="H19" s="1060"/>
      <c r="I19" s="1062"/>
      <c r="J19" s="1"/>
    </row>
    <row r="20" spans="1:10" ht="12.75" customHeight="1">
      <c r="A20" s="81">
        <v>11</v>
      </c>
      <c r="B20" s="1078" t="s">
        <v>24</v>
      </c>
      <c r="C20" s="1079"/>
      <c r="D20" s="1079"/>
      <c r="E20" s="1080"/>
      <c r="F20" s="33">
        <v>0</v>
      </c>
      <c r="G20" s="33">
        <v>0</v>
      </c>
      <c r="H20" s="33">
        <v>0</v>
      </c>
      <c r="I20" s="66"/>
      <c r="J20" s="1"/>
    </row>
    <row r="21" spans="1:10" ht="12.75">
      <c r="A21" s="81">
        <v>12</v>
      </c>
      <c r="B21" s="1055" t="s">
        <v>52</v>
      </c>
      <c r="C21" s="1051"/>
      <c r="D21" s="1051"/>
      <c r="E21" s="1051"/>
      <c r="F21" s="34">
        <v>0</v>
      </c>
      <c r="G21" s="34">
        <v>0</v>
      </c>
      <c r="H21" s="34">
        <v>0</v>
      </c>
      <c r="I21" s="66">
        <v>0</v>
      </c>
      <c r="J21" s="3"/>
    </row>
    <row r="22" spans="1:10" ht="23.25" customHeight="1">
      <c r="A22" s="81">
        <v>13</v>
      </c>
      <c r="B22" s="1066" t="s">
        <v>53</v>
      </c>
      <c r="C22" s="1045"/>
      <c r="D22" s="1045"/>
      <c r="E22" s="1046"/>
      <c r="F22" s="34">
        <v>0</v>
      </c>
      <c r="G22" s="34">
        <v>0</v>
      </c>
      <c r="H22" s="34">
        <v>0</v>
      </c>
      <c r="I22" s="66">
        <v>0</v>
      </c>
      <c r="J22" s="3"/>
    </row>
    <row r="23" spans="1:10" ht="14.25" customHeight="1">
      <c r="A23" s="81">
        <v>14</v>
      </c>
      <c r="B23" s="1044" t="s">
        <v>25</v>
      </c>
      <c r="C23" s="1045"/>
      <c r="D23" s="1045"/>
      <c r="E23" s="1046"/>
      <c r="F23" s="48">
        <f>F24</f>
        <v>432134</v>
      </c>
      <c r="G23" s="48">
        <f>G24</f>
        <v>493761</v>
      </c>
      <c r="H23" s="33">
        <f>H24</f>
        <v>3748</v>
      </c>
      <c r="I23" s="66">
        <f>H23/G23*100</f>
        <v>0.7590716966305561</v>
      </c>
      <c r="J23" s="3"/>
    </row>
    <row r="24" spans="1:11" ht="22.5" customHeight="1">
      <c r="A24" s="81">
        <v>15</v>
      </c>
      <c r="B24" s="1066" t="s">
        <v>54</v>
      </c>
      <c r="C24" s="1045"/>
      <c r="D24" s="1045"/>
      <c r="E24" s="1046"/>
      <c r="F24" s="30">
        <v>432134</v>
      </c>
      <c r="G24" s="30">
        <v>493761</v>
      </c>
      <c r="H24" s="34">
        <v>3748</v>
      </c>
      <c r="I24" s="66">
        <f t="shared" si="0"/>
        <v>0.7590716966305561</v>
      </c>
      <c r="J24" s="1"/>
      <c r="K24" s="28"/>
    </row>
    <row r="25" spans="1:11" ht="12.75" customHeight="1" thickBot="1">
      <c r="A25" s="81">
        <v>16</v>
      </c>
      <c r="B25" s="1055" t="s">
        <v>10</v>
      </c>
      <c r="C25" s="1051"/>
      <c r="D25" s="1051"/>
      <c r="E25" s="1051"/>
      <c r="F25" s="30"/>
      <c r="G25" s="30"/>
      <c r="H25" s="46"/>
      <c r="I25" s="66"/>
      <c r="J25" s="1"/>
      <c r="K25" s="28"/>
    </row>
    <row r="26" spans="1:10" ht="12.75" customHeight="1" hidden="1">
      <c r="A26" s="81"/>
      <c r="B26" s="1052"/>
      <c r="C26" s="1053"/>
      <c r="D26" s="1053"/>
      <c r="E26" s="1054"/>
      <c r="F26" s="49"/>
      <c r="G26" s="49"/>
      <c r="H26" s="47"/>
      <c r="I26" s="67" t="e">
        <f t="shared" si="0"/>
        <v>#DIV/0!</v>
      </c>
      <c r="J26" s="1"/>
    </row>
    <row r="27" spans="1:10" s="26" customFormat="1" ht="12.75" customHeight="1" thickBot="1">
      <c r="A27" s="89">
        <v>17</v>
      </c>
      <c r="B27" s="1063" t="s">
        <v>42</v>
      </c>
      <c r="C27" s="1064"/>
      <c r="D27" s="1064"/>
      <c r="E27" s="1065"/>
      <c r="F27" s="90">
        <f>F10+F15+F20+F23</f>
        <v>977832</v>
      </c>
      <c r="G27" s="90">
        <f>G10+G15+G20+G23</f>
        <v>1120583</v>
      </c>
      <c r="H27" s="91">
        <f>H10+H15+H20+H23</f>
        <v>565443</v>
      </c>
      <c r="I27" s="92">
        <f t="shared" si="0"/>
        <v>50.459716058515966</v>
      </c>
      <c r="J27" s="2"/>
    </row>
    <row r="28" spans="1:10" ht="12.75" customHeight="1" thickBot="1">
      <c r="A28" s="81">
        <v>18</v>
      </c>
      <c r="B28" s="1067" t="s">
        <v>55</v>
      </c>
      <c r="C28" s="1068"/>
      <c r="D28" s="1068"/>
      <c r="E28" s="1068"/>
      <c r="F28" s="36"/>
      <c r="G28" s="36"/>
      <c r="H28" s="36">
        <v>-20</v>
      </c>
      <c r="I28" s="68"/>
      <c r="J28" s="1"/>
    </row>
    <row r="29" spans="1:10" ht="12.75" customHeight="1" thickBot="1">
      <c r="A29" s="86">
        <v>19</v>
      </c>
      <c r="B29" s="1084" t="s">
        <v>11</v>
      </c>
      <c r="C29" s="1085"/>
      <c r="D29" s="1085"/>
      <c r="E29" s="1085"/>
      <c r="F29" s="87">
        <f>F27+F28</f>
        <v>977832</v>
      </c>
      <c r="G29" s="87">
        <f>G27+G28</f>
        <v>1120583</v>
      </c>
      <c r="H29" s="87">
        <f>H27+H28</f>
        <v>565423</v>
      </c>
      <c r="I29" s="88">
        <f>(H29/G29)*100</f>
        <v>50.45793127327472</v>
      </c>
      <c r="J29" s="1"/>
    </row>
    <row r="30" spans="1:9" ht="12.75" customHeight="1">
      <c r="A30" s="81">
        <v>20</v>
      </c>
      <c r="B30" s="1086" t="s">
        <v>8</v>
      </c>
      <c r="C30" s="1087"/>
      <c r="D30" s="1087"/>
      <c r="E30" s="1087"/>
      <c r="F30" s="40"/>
      <c r="G30" s="40"/>
      <c r="H30" s="40"/>
      <c r="I30" s="41"/>
    </row>
    <row r="31" spans="1:9" ht="12.75" customHeight="1">
      <c r="A31" s="81">
        <v>21</v>
      </c>
      <c r="B31" s="1078" t="s">
        <v>13</v>
      </c>
      <c r="C31" s="1079"/>
      <c r="D31" s="1079"/>
      <c r="E31" s="1080"/>
      <c r="F31" s="63">
        <f>F32+F33+F34+F35+F36+F37</f>
        <v>507480</v>
      </c>
      <c r="G31" s="63">
        <f>G32+G33+G34+G35+G36+G37</f>
        <v>534969</v>
      </c>
      <c r="H31" s="52">
        <f>H32+H33+H34+H35+H36+H37</f>
        <v>500803</v>
      </c>
      <c r="I31" s="53">
        <f>H31/G31*100</f>
        <v>93.61346171460403</v>
      </c>
    </row>
    <row r="32" spans="1:9" ht="12.75" customHeight="1">
      <c r="A32" s="81">
        <v>22</v>
      </c>
      <c r="B32" s="1041" t="s">
        <v>56</v>
      </c>
      <c r="C32" s="1042"/>
      <c r="D32" s="1042"/>
      <c r="E32" s="1043"/>
      <c r="F32" s="54">
        <v>218164</v>
      </c>
      <c r="G32" s="54">
        <v>223960</v>
      </c>
      <c r="H32" s="54">
        <v>209767</v>
      </c>
      <c r="I32" s="55">
        <f aca="true" t="shared" si="1" ref="I32:I50">H32/G32*100</f>
        <v>93.66270762636185</v>
      </c>
    </row>
    <row r="33" spans="1:9" ht="14.25" customHeight="1">
      <c r="A33" s="81">
        <v>23</v>
      </c>
      <c r="B33" s="1041" t="s">
        <v>57</v>
      </c>
      <c r="C33" s="1042"/>
      <c r="D33" s="1042"/>
      <c r="E33" s="1043"/>
      <c r="F33" s="51">
        <v>69288</v>
      </c>
      <c r="G33" s="51">
        <v>70879</v>
      </c>
      <c r="H33" s="51">
        <v>62373</v>
      </c>
      <c r="I33" s="53">
        <f t="shared" si="1"/>
        <v>87.99926635533797</v>
      </c>
    </row>
    <row r="34" spans="1:9" ht="12.75" customHeight="1">
      <c r="A34" s="81">
        <v>24</v>
      </c>
      <c r="B34" s="1093" t="s">
        <v>58</v>
      </c>
      <c r="C34" s="1094"/>
      <c r="D34" s="1094"/>
      <c r="E34" s="1095"/>
      <c r="F34" s="54">
        <v>168694</v>
      </c>
      <c r="G34" s="54">
        <v>187192</v>
      </c>
      <c r="H34" s="54">
        <v>180778</v>
      </c>
      <c r="I34" s="55">
        <f t="shared" si="1"/>
        <v>96.57357152015044</v>
      </c>
    </row>
    <row r="35" spans="1:9" ht="12.75" customHeight="1">
      <c r="A35" s="81">
        <v>25</v>
      </c>
      <c r="B35" s="1041" t="s">
        <v>59</v>
      </c>
      <c r="C35" s="1042"/>
      <c r="D35" s="1042"/>
      <c r="E35" s="1043"/>
      <c r="F35" s="51">
        <v>18838</v>
      </c>
      <c r="G35" s="51">
        <v>20445</v>
      </c>
      <c r="H35" s="51">
        <v>19453</v>
      </c>
      <c r="I35" s="53">
        <f t="shared" si="1"/>
        <v>95.14795793592566</v>
      </c>
    </row>
    <row r="36" spans="1:9" ht="12" customHeight="1">
      <c r="A36" s="81">
        <v>26</v>
      </c>
      <c r="B36" s="1041" t="s">
        <v>17</v>
      </c>
      <c r="C36" s="1042"/>
      <c r="D36" s="1042"/>
      <c r="E36" s="1043"/>
      <c r="F36" s="54">
        <v>0</v>
      </c>
      <c r="G36" s="54">
        <v>0</v>
      </c>
      <c r="H36" s="54">
        <v>0</v>
      </c>
      <c r="I36" s="55">
        <v>0</v>
      </c>
    </row>
    <row r="37" spans="1:9" ht="12.75" customHeight="1">
      <c r="A37" s="81">
        <v>27</v>
      </c>
      <c r="B37" s="1093" t="s">
        <v>60</v>
      </c>
      <c r="C37" s="1094"/>
      <c r="D37" s="1094"/>
      <c r="E37" s="1095"/>
      <c r="F37" s="51">
        <f>18261+14235</f>
        <v>32496</v>
      </c>
      <c r="G37" s="51">
        <f>18158+14335</f>
        <v>32493</v>
      </c>
      <c r="H37" s="51">
        <f>17406+11026</f>
        <v>28432</v>
      </c>
      <c r="I37" s="53">
        <f t="shared" si="1"/>
        <v>87.50192349121349</v>
      </c>
    </row>
    <row r="38" spans="1:9" ht="12.75" customHeight="1">
      <c r="A38" s="81">
        <v>28</v>
      </c>
      <c r="B38" s="1078" t="s">
        <v>16</v>
      </c>
      <c r="C38" s="1079"/>
      <c r="D38" s="1079"/>
      <c r="E38" s="1080"/>
      <c r="F38" s="52">
        <f>F39+F40+F42+F45</f>
        <v>470352</v>
      </c>
      <c r="G38" s="52">
        <f>G39+G40+G42+G45</f>
        <v>510461</v>
      </c>
      <c r="H38" s="52">
        <f>H39+H40+H42+H45</f>
        <v>58473</v>
      </c>
      <c r="I38" s="53">
        <f t="shared" si="1"/>
        <v>11.454939750539218</v>
      </c>
    </row>
    <row r="39" spans="1:9" ht="12.75" customHeight="1">
      <c r="A39" s="81">
        <v>29</v>
      </c>
      <c r="B39" s="1041" t="s">
        <v>61</v>
      </c>
      <c r="C39" s="1042"/>
      <c r="D39" s="1042"/>
      <c r="E39" s="1043"/>
      <c r="F39" s="54">
        <v>453562</v>
      </c>
      <c r="G39" s="54">
        <v>471171</v>
      </c>
      <c r="H39" s="54">
        <v>37874</v>
      </c>
      <c r="I39" s="55">
        <f t="shared" si="1"/>
        <v>8.038270606637505</v>
      </c>
    </row>
    <row r="40" spans="1:9" ht="12.75" customHeight="1">
      <c r="A40" s="81">
        <v>30</v>
      </c>
      <c r="B40" s="1041" t="s">
        <v>62</v>
      </c>
      <c r="C40" s="1042"/>
      <c r="D40" s="1042"/>
      <c r="E40" s="1043"/>
      <c r="F40" s="51">
        <v>13790</v>
      </c>
      <c r="G40" s="51">
        <v>36290</v>
      </c>
      <c r="H40" s="51">
        <v>17839</v>
      </c>
      <c r="I40" s="53">
        <f t="shared" si="1"/>
        <v>49.15679250482226</v>
      </c>
    </row>
    <row r="41" spans="1:9" ht="12.75">
      <c r="A41" s="81">
        <v>31</v>
      </c>
      <c r="B41" s="1090" t="s">
        <v>63</v>
      </c>
      <c r="C41" s="1091"/>
      <c r="D41" s="1091"/>
      <c r="E41" s="1092"/>
      <c r="F41" s="51">
        <v>0</v>
      </c>
      <c r="G41" s="51">
        <v>0</v>
      </c>
      <c r="H41" s="51">
        <v>0</v>
      </c>
      <c r="I41" s="53">
        <v>0</v>
      </c>
    </row>
    <row r="42" spans="1:9" ht="12.75">
      <c r="A42" s="81">
        <v>32</v>
      </c>
      <c r="B42" s="1041" t="s">
        <v>64</v>
      </c>
      <c r="C42" s="1042"/>
      <c r="D42" s="1042"/>
      <c r="E42" s="1043"/>
      <c r="F42" s="54">
        <v>2000</v>
      </c>
      <c r="G42" s="54">
        <v>2000</v>
      </c>
      <c r="H42" s="54">
        <v>1600</v>
      </c>
      <c r="I42" s="55">
        <f t="shared" si="1"/>
        <v>80</v>
      </c>
    </row>
    <row r="43" spans="1:9" ht="12.75">
      <c r="A43" s="81">
        <v>33</v>
      </c>
      <c r="B43" s="1041" t="s">
        <v>15</v>
      </c>
      <c r="C43" s="1042"/>
      <c r="D43" s="1042"/>
      <c r="E43" s="1043"/>
      <c r="F43" s="51">
        <v>0</v>
      </c>
      <c r="G43" s="51">
        <v>0</v>
      </c>
      <c r="H43" s="51">
        <v>0</v>
      </c>
      <c r="I43" s="53">
        <v>0</v>
      </c>
    </row>
    <row r="44" spans="1:9" ht="12.75" hidden="1">
      <c r="A44" s="81">
        <v>35</v>
      </c>
      <c r="B44" s="1041" t="s">
        <v>20</v>
      </c>
      <c r="C44" s="1042"/>
      <c r="D44" s="1042"/>
      <c r="E44" s="1043"/>
      <c r="F44" s="54">
        <v>0</v>
      </c>
      <c r="G44" s="54">
        <v>0</v>
      </c>
      <c r="H44" s="54">
        <v>0</v>
      </c>
      <c r="I44" s="55">
        <v>0</v>
      </c>
    </row>
    <row r="45" spans="1:9" ht="13.5" thickBot="1">
      <c r="A45" s="81">
        <v>34</v>
      </c>
      <c r="B45" s="1047" t="s">
        <v>65</v>
      </c>
      <c r="C45" s="1048"/>
      <c r="D45" s="1048"/>
      <c r="E45" s="1049"/>
      <c r="F45" s="56">
        <v>1000</v>
      </c>
      <c r="G45" s="56">
        <v>1000</v>
      </c>
      <c r="H45" s="56">
        <v>1160</v>
      </c>
      <c r="I45" s="57">
        <f t="shared" si="1"/>
        <v>115.99999999999999</v>
      </c>
    </row>
    <row r="46" spans="1:13" ht="12.75">
      <c r="A46" s="82">
        <v>35</v>
      </c>
      <c r="B46" s="1074" t="s">
        <v>18</v>
      </c>
      <c r="C46" s="1075"/>
      <c r="D46" s="1075"/>
      <c r="E46" s="1076"/>
      <c r="F46" s="58">
        <f>F31+F38+F48</f>
        <v>977832</v>
      </c>
      <c r="G46" s="58">
        <f>G31+G38+G44</f>
        <v>1045430</v>
      </c>
      <c r="H46" s="58">
        <f>H31+H38+H48</f>
        <v>559276</v>
      </c>
      <c r="I46" s="59">
        <f t="shared" si="1"/>
        <v>53.497221239107354</v>
      </c>
      <c r="M46" s="6"/>
    </row>
    <row r="47" spans="1:9" ht="13.5" thickBot="1">
      <c r="A47" s="81">
        <v>36</v>
      </c>
      <c r="B47" s="1051" t="s">
        <v>66</v>
      </c>
      <c r="C47" s="1051"/>
      <c r="D47" s="1051"/>
      <c r="E47" s="1051"/>
      <c r="F47" s="54">
        <v>0</v>
      </c>
      <c r="G47" s="54">
        <v>0</v>
      </c>
      <c r="H47" s="54">
        <v>-1171</v>
      </c>
      <c r="I47" s="60">
        <v>0</v>
      </c>
    </row>
    <row r="48" spans="1:9" ht="13.5" thickBot="1">
      <c r="A48" s="81">
        <v>37</v>
      </c>
      <c r="B48" s="1050" t="s">
        <v>67</v>
      </c>
      <c r="C48" s="1050"/>
      <c r="D48" s="1050"/>
      <c r="E48" s="1050"/>
      <c r="F48" s="51">
        <v>0</v>
      </c>
      <c r="G48" s="51">
        <v>75153</v>
      </c>
      <c r="H48" s="51">
        <v>0</v>
      </c>
      <c r="I48" s="61">
        <v>0</v>
      </c>
    </row>
    <row r="49" spans="1:9" ht="12.75" customHeight="1" thickBot="1">
      <c r="A49" s="83">
        <v>38</v>
      </c>
      <c r="B49" s="1081" t="s">
        <v>14</v>
      </c>
      <c r="C49" s="1082"/>
      <c r="D49" s="1082"/>
      <c r="E49" s="1083"/>
      <c r="F49" s="78">
        <f>F46+F47</f>
        <v>977832</v>
      </c>
      <c r="G49" s="78">
        <f>G46+G47+G48</f>
        <v>1120583</v>
      </c>
      <c r="H49" s="79">
        <f>H46+H47</f>
        <v>558105</v>
      </c>
      <c r="I49" s="80">
        <f t="shared" si="1"/>
        <v>49.80487835349992</v>
      </c>
    </row>
    <row r="50" spans="1:9" ht="12.75" customHeight="1" thickBot="1">
      <c r="A50" s="81">
        <v>39</v>
      </c>
      <c r="B50" s="1069" t="s">
        <v>12</v>
      </c>
      <c r="C50" s="1070"/>
      <c r="D50" s="1070"/>
      <c r="E50" s="1071"/>
      <c r="F50" s="75">
        <v>90</v>
      </c>
      <c r="G50" s="76">
        <v>89</v>
      </c>
      <c r="H50" s="76">
        <v>86</v>
      </c>
      <c r="I50" s="62">
        <f t="shared" si="1"/>
        <v>96.62921348314607</v>
      </c>
    </row>
    <row r="51" spans="1:9" ht="12.75" customHeight="1">
      <c r="A51" s="81">
        <v>40</v>
      </c>
      <c r="B51" s="69" t="s">
        <v>35</v>
      </c>
      <c r="C51" s="70"/>
      <c r="D51" s="70"/>
      <c r="E51" s="70"/>
      <c r="F51" s="70"/>
      <c r="G51" s="71"/>
      <c r="H51" s="72"/>
      <c r="I51" s="64">
        <v>493723</v>
      </c>
    </row>
    <row r="52" spans="1:9" ht="12.75" customHeight="1">
      <c r="A52" s="81">
        <v>41</v>
      </c>
      <c r="B52" s="1055" t="s">
        <v>37</v>
      </c>
      <c r="C52" s="1051"/>
      <c r="D52" s="1051"/>
      <c r="E52" s="1051"/>
      <c r="F52" s="1051"/>
      <c r="G52" s="1051"/>
      <c r="H52" s="1051"/>
      <c r="I52" s="74">
        <v>565423</v>
      </c>
    </row>
    <row r="53" spans="1:9" ht="16.5" customHeight="1">
      <c r="A53" s="81">
        <v>42</v>
      </c>
      <c r="B53" s="1055" t="s">
        <v>38</v>
      </c>
      <c r="C53" s="1051"/>
      <c r="D53" s="1051"/>
      <c r="E53" s="1051"/>
      <c r="F53" s="1051"/>
      <c r="G53" s="1051"/>
      <c r="H53" s="1051"/>
      <c r="I53" s="74">
        <v>558105</v>
      </c>
    </row>
    <row r="54" spans="1:9" s="25" customFormat="1" ht="13.5" customHeight="1">
      <c r="A54" s="81">
        <v>43</v>
      </c>
      <c r="B54" s="73" t="s">
        <v>19</v>
      </c>
      <c r="C54" s="1072"/>
      <c r="D54" s="1072"/>
      <c r="E54" s="1072"/>
      <c r="F54" s="1072"/>
      <c r="G54" s="1072"/>
      <c r="H54" s="1073"/>
      <c r="I54" s="74">
        <f>I51+I52-I53</f>
        <v>501041</v>
      </c>
    </row>
    <row r="55" spans="1:11" ht="13.5" customHeight="1">
      <c r="A55" s="81">
        <v>44</v>
      </c>
      <c r="B55" s="1088" t="s">
        <v>36</v>
      </c>
      <c r="C55" s="1089"/>
      <c r="D55" s="1089"/>
      <c r="E55" s="1089"/>
      <c r="F55" s="1089"/>
      <c r="G55" s="1089"/>
      <c r="H55" s="1089"/>
      <c r="I55" s="77">
        <v>-3748</v>
      </c>
      <c r="K55" s="6"/>
    </row>
    <row r="56" spans="1:13" ht="13.5" customHeight="1" thickBot="1">
      <c r="A56" s="84">
        <v>45</v>
      </c>
      <c r="B56" s="94" t="s">
        <v>43</v>
      </c>
      <c r="C56" s="95"/>
      <c r="D56" s="95"/>
      <c r="E56" s="95"/>
      <c r="F56" s="95"/>
      <c r="G56" s="95"/>
      <c r="H56" s="95"/>
      <c r="I56" s="96">
        <v>497293</v>
      </c>
      <c r="J56" s="1056"/>
      <c r="K56" s="1056"/>
      <c r="L56" s="1056"/>
      <c r="M56" s="1056"/>
    </row>
    <row r="57" spans="3:11" ht="13.5" customHeight="1">
      <c r="C57" s="27"/>
      <c r="D57" s="27"/>
      <c r="E57" s="27"/>
      <c r="F57" s="27"/>
      <c r="G57" s="6"/>
      <c r="H57" s="6"/>
      <c r="I57" s="6"/>
      <c r="J57" s="6"/>
      <c r="K57" s="6"/>
    </row>
    <row r="58" ht="13.5" customHeight="1">
      <c r="H58" s="6"/>
    </row>
    <row r="59" ht="13.5" customHeight="1">
      <c r="H59" s="6"/>
    </row>
    <row r="60" ht="13.5" customHeight="1">
      <c r="F60" t="s">
        <v>40</v>
      </c>
    </row>
    <row r="61" spans="1:10" s="26" customFormat="1" ht="13.5" customHeight="1">
      <c r="A61"/>
      <c r="B61"/>
      <c r="C61"/>
      <c r="D61"/>
      <c r="E61"/>
      <c r="F61" s="31"/>
      <c r="G61"/>
      <c r="H61"/>
      <c r="I61"/>
      <c r="J61"/>
    </row>
    <row r="62" spans="6:9" ht="13.5" customHeight="1">
      <c r="F62" t="s">
        <v>34</v>
      </c>
      <c r="G62">
        <v>417717</v>
      </c>
      <c r="H62">
        <v>431104</v>
      </c>
      <c r="I62">
        <v>18664</v>
      </c>
    </row>
    <row r="63" spans="7:9" ht="13.5" customHeight="1">
      <c r="G63">
        <f>960115-400000</f>
        <v>560115</v>
      </c>
      <c r="H63">
        <f>1089479-400000</f>
        <v>689479</v>
      </c>
      <c r="I63">
        <v>546759</v>
      </c>
    </row>
    <row r="64" spans="6:9" ht="13.5" customHeight="1">
      <c r="F64" t="s">
        <v>31</v>
      </c>
      <c r="G64">
        <f>G62+G63</f>
        <v>977832</v>
      </c>
      <c r="H64">
        <f>H62+H63</f>
        <v>1120583</v>
      </c>
      <c r="I64">
        <f>I62+I63</f>
        <v>565423</v>
      </c>
    </row>
    <row r="65" spans="6:9" ht="13.5" customHeight="1">
      <c r="F65" t="s">
        <v>32</v>
      </c>
      <c r="G65">
        <v>977832</v>
      </c>
      <c r="H65">
        <v>1120583</v>
      </c>
      <c r="I65">
        <v>565423</v>
      </c>
    </row>
    <row r="66" spans="6:9" ht="13.5" customHeight="1">
      <c r="F66" t="s">
        <v>33</v>
      </c>
      <c r="G66">
        <f>G64-G65</f>
        <v>0</v>
      </c>
      <c r="H66">
        <f>H64-H65</f>
        <v>0</v>
      </c>
      <c r="I66" s="50">
        <f>I64-I65</f>
        <v>0</v>
      </c>
    </row>
    <row r="67" ht="13.5" customHeight="1"/>
    <row r="68" spans="6:9" ht="13.5" customHeight="1">
      <c r="F68" t="s">
        <v>39</v>
      </c>
      <c r="G68">
        <v>470352</v>
      </c>
      <c r="H68">
        <v>510461</v>
      </c>
      <c r="I68">
        <v>58473</v>
      </c>
    </row>
    <row r="69" spans="7:9" ht="13.5" customHeight="1">
      <c r="G69">
        <v>507480</v>
      </c>
      <c r="H69">
        <v>610122</v>
      </c>
      <c r="I69">
        <v>499632</v>
      </c>
    </row>
    <row r="70" spans="6:9" ht="13.5" customHeight="1">
      <c r="F70" t="s">
        <v>31</v>
      </c>
      <c r="G70">
        <f>G68+G69</f>
        <v>977832</v>
      </c>
      <c r="H70">
        <f>H68+H69</f>
        <v>1120583</v>
      </c>
      <c r="I70">
        <f>I68+I69</f>
        <v>558105</v>
      </c>
    </row>
    <row r="71" spans="6:9" ht="13.5" customHeight="1">
      <c r="F71" t="s">
        <v>32</v>
      </c>
      <c r="G71">
        <v>977832</v>
      </c>
      <c r="H71">
        <v>1120583</v>
      </c>
      <c r="I71">
        <v>558105</v>
      </c>
    </row>
    <row r="72" spans="6:9" ht="13.5" customHeight="1">
      <c r="F72" t="s">
        <v>33</v>
      </c>
      <c r="G72">
        <f>G70-G71</f>
        <v>0</v>
      </c>
      <c r="H72">
        <f>H70-H71</f>
        <v>0</v>
      </c>
      <c r="I72">
        <f>I70-I71</f>
        <v>0</v>
      </c>
    </row>
    <row r="73" ht="18" customHeight="1"/>
    <row r="76" spans="2:10" ht="12.75">
      <c r="B76" s="6"/>
      <c r="C76" s="6"/>
      <c r="D76" s="6"/>
      <c r="E76" s="6"/>
      <c r="F76" s="1056"/>
      <c r="G76" s="1056"/>
      <c r="H76" s="1077"/>
      <c r="I76" s="1077"/>
      <c r="J76" s="1077"/>
    </row>
    <row r="77" spans="2:10" ht="12.75">
      <c r="B77" s="6"/>
      <c r="C77" s="6"/>
      <c r="D77" s="6"/>
      <c r="E77" s="6"/>
      <c r="F77" s="6"/>
      <c r="G77" s="6"/>
      <c r="H77" s="14"/>
      <c r="I77" s="14"/>
      <c r="J77" s="14"/>
    </row>
    <row r="78" spans="2:10" ht="15">
      <c r="B78" s="6"/>
      <c r="C78" s="6"/>
      <c r="D78" s="6"/>
      <c r="E78" s="6"/>
      <c r="F78" s="6"/>
      <c r="G78" s="6"/>
      <c r="H78" s="6"/>
      <c r="I78" s="6"/>
      <c r="J78" s="22"/>
    </row>
    <row r="79" spans="2:10" ht="15">
      <c r="B79" s="24"/>
      <c r="C79" s="8"/>
      <c r="D79" s="8"/>
      <c r="E79" s="8"/>
      <c r="F79" s="8"/>
      <c r="G79" s="8"/>
      <c r="H79" s="8"/>
      <c r="I79" s="8"/>
      <c r="J79" s="23"/>
    </row>
    <row r="80" spans="2:10" ht="15.75">
      <c r="B80" s="8"/>
      <c r="C80" s="8"/>
      <c r="D80" s="8"/>
      <c r="E80" s="8"/>
      <c r="F80" s="8"/>
      <c r="G80" s="8"/>
      <c r="H80" s="8"/>
      <c r="I80" s="8"/>
      <c r="J80" s="21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6"/>
      <c r="C82" s="6"/>
      <c r="D82" s="6"/>
      <c r="E82" s="6"/>
      <c r="F82" s="6"/>
      <c r="G82" s="6"/>
      <c r="H82" s="6"/>
      <c r="I82" s="6"/>
      <c r="J82" s="6"/>
    </row>
    <row r="83" spans="2:10" ht="12.75">
      <c r="B83" s="6"/>
      <c r="C83" s="6"/>
      <c r="D83" s="6"/>
      <c r="E83" s="6"/>
      <c r="F83" s="6"/>
      <c r="G83" s="6"/>
      <c r="H83" s="6"/>
      <c r="I83" s="16"/>
      <c r="J83" s="16"/>
    </row>
    <row r="84" spans="2:10" ht="12.75">
      <c r="B84" s="18"/>
      <c r="C84" s="19"/>
      <c r="D84" s="19"/>
      <c r="E84" s="19"/>
      <c r="F84" s="19"/>
      <c r="G84" s="15"/>
      <c r="H84" s="15"/>
      <c r="I84" s="16"/>
      <c r="J84" s="16"/>
    </row>
    <row r="85" spans="2:10" ht="12.75">
      <c r="B85" s="18"/>
      <c r="C85" s="19"/>
      <c r="D85" s="19"/>
      <c r="E85" s="19"/>
      <c r="F85" s="19"/>
      <c r="G85" s="16"/>
      <c r="H85" s="16"/>
      <c r="I85" s="15"/>
      <c r="J85" s="15"/>
    </row>
    <row r="86" spans="2:10" ht="12.75">
      <c r="B86" s="15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5"/>
      <c r="C87" s="16"/>
      <c r="D87" s="16"/>
      <c r="E87" s="16"/>
      <c r="F87" s="16"/>
      <c r="G87" s="16"/>
      <c r="H87" s="16"/>
      <c r="I87" s="16"/>
      <c r="J87" s="16"/>
    </row>
    <row r="88" spans="2:10" ht="12.75">
      <c r="B88" s="15"/>
      <c r="C88" s="16"/>
      <c r="D88" s="16"/>
      <c r="E88" s="16"/>
      <c r="F88" s="16"/>
      <c r="G88" s="16"/>
      <c r="H88" s="16"/>
      <c r="I88" s="16"/>
      <c r="J88" s="16"/>
    </row>
    <row r="89" spans="2:10" ht="12.75">
      <c r="B89" s="15"/>
      <c r="C89" s="20"/>
      <c r="D89" s="20"/>
      <c r="E89" s="20"/>
      <c r="F89" s="20"/>
      <c r="G89" s="17"/>
      <c r="H89" s="17"/>
      <c r="I89" s="17"/>
      <c r="J89" s="17"/>
    </row>
    <row r="90" spans="2:10" ht="12.75">
      <c r="B90" s="15"/>
      <c r="C90" s="16"/>
      <c r="D90" s="16"/>
      <c r="E90" s="16"/>
      <c r="F90" s="16"/>
      <c r="G90" s="16"/>
      <c r="H90" s="16"/>
      <c r="I90" s="16"/>
      <c r="J90" s="16"/>
    </row>
    <row r="91" spans="2:10" ht="12.75">
      <c r="B91" s="15"/>
      <c r="C91" s="16"/>
      <c r="D91" s="16"/>
      <c r="E91" s="16"/>
      <c r="F91" s="16"/>
      <c r="G91" s="16"/>
      <c r="H91" s="16"/>
      <c r="I91" s="16"/>
      <c r="J91" s="16"/>
    </row>
    <row r="92" spans="2:10" ht="12.75">
      <c r="B92" s="15"/>
      <c r="C92" s="16"/>
      <c r="D92" s="16"/>
      <c r="E92" s="16"/>
      <c r="F92" s="16"/>
      <c r="G92" s="16"/>
      <c r="H92" s="16"/>
      <c r="I92" s="16"/>
      <c r="J92" s="16"/>
    </row>
    <row r="93" spans="2:10" ht="12.75">
      <c r="B93" s="15"/>
      <c r="C93" s="16"/>
      <c r="D93" s="16"/>
      <c r="E93" s="16"/>
      <c r="F93" s="16"/>
      <c r="G93" s="16"/>
      <c r="H93" s="16"/>
      <c r="I93" s="16"/>
      <c r="J93" s="16"/>
    </row>
    <row r="94" spans="2:11" ht="12.75">
      <c r="B94" s="15"/>
      <c r="C94" s="16"/>
      <c r="D94" s="16"/>
      <c r="E94" s="16"/>
      <c r="F94" s="16"/>
      <c r="G94" s="16"/>
      <c r="H94" s="16"/>
      <c r="I94" s="16"/>
      <c r="J94" s="16"/>
      <c r="K94" s="9"/>
    </row>
    <row r="95" spans="2:11" ht="12.75">
      <c r="B95" s="15"/>
      <c r="C95" s="20"/>
      <c r="D95" s="20"/>
      <c r="E95" s="20"/>
      <c r="F95" s="20"/>
      <c r="G95" s="17"/>
      <c r="H95" s="17"/>
      <c r="I95" s="17"/>
      <c r="J95" s="17"/>
      <c r="K95" s="5"/>
    </row>
    <row r="96" spans="2:10" ht="12.75">
      <c r="B96" s="15"/>
      <c r="C96" s="20"/>
      <c r="D96" s="20"/>
      <c r="E96" s="20"/>
      <c r="F96" s="20"/>
      <c r="G96" s="17"/>
      <c r="H96" s="17"/>
      <c r="I96" s="17"/>
      <c r="J96" s="17"/>
    </row>
    <row r="97" spans="2:11" ht="12.75">
      <c r="B97" s="15"/>
      <c r="C97" s="16"/>
      <c r="D97" s="16"/>
      <c r="E97" s="16"/>
      <c r="F97" s="16"/>
      <c r="G97" s="16"/>
      <c r="H97" s="16"/>
      <c r="I97" s="16"/>
      <c r="J97" s="16"/>
      <c r="K97" s="2"/>
    </row>
    <row r="98" spans="2:15" ht="12.75">
      <c r="B98" s="15"/>
      <c r="C98" s="16"/>
      <c r="D98" s="16"/>
      <c r="E98" s="16"/>
      <c r="F98" s="16"/>
      <c r="G98" s="16"/>
      <c r="H98" s="16"/>
      <c r="I98" s="16"/>
      <c r="J98" s="16"/>
      <c r="K98" s="2"/>
      <c r="O98" s="6"/>
    </row>
    <row r="99" spans="2:10" ht="12.75">
      <c r="B99" s="15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5"/>
      <c r="C100" s="20"/>
      <c r="D100" s="20"/>
      <c r="E100" s="20"/>
      <c r="F100" s="20"/>
      <c r="G100" s="17"/>
      <c r="H100" s="17"/>
      <c r="I100" s="17"/>
      <c r="J100" s="17"/>
    </row>
    <row r="101" spans="2:10" ht="12.75">
      <c r="B101" s="15"/>
      <c r="C101" s="20"/>
      <c r="D101" s="20"/>
      <c r="E101" s="20"/>
      <c r="F101" s="20"/>
      <c r="G101" s="17"/>
      <c r="H101" s="17"/>
      <c r="I101" s="17"/>
      <c r="J101" s="17"/>
    </row>
    <row r="102" spans="2:10" ht="12.75">
      <c r="B102" s="15"/>
      <c r="C102" s="16"/>
      <c r="D102" s="16"/>
      <c r="E102" s="16"/>
      <c r="F102" s="16"/>
      <c r="G102" s="16"/>
      <c r="H102" s="16"/>
      <c r="I102" s="16"/>
      <c r="J102" s="16"/>
    </row>
    <row r="103" spans="2:10" ht="12.75">
      <c r="B103" s="15"/>
      <c r="C103" s="16"/>
      <c r="D103" s="16"/>
      <c r="E103" s="16"/>
      <c r="F103" s="16"/>
      <c r="G103" s="16"/>
      <c r="H103" s="16"/>
      <c r="I103" s="16"/>
      <c r="J103" s="16"/>
    </row>
    <row r="104" spans="2:10" ht="12.75"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2:10" ht="12.75">
      <c r="B105" s="15"/>
      <c r="C105" s="16"/>
      <c r="D105" s="16"/>
      <c r="E105" s="16"/>
      <c r="F105" s="16"/>
      <c r="G105" s="16"/>
      <c r="H105" s="16"/>
      <c r="I105" s="16"/>
      <c r="J105" s="16"/>
    </row>
    <row r="106" spans="2:10" ht="15.75" customHeight="1">
      <c r="B106" s="15"/>
      <c r="C106" s="16"/>
      <c r="D106" s="16"/>
      <c r="E106" s="16"/>
      <c r="F106" s="16"/>
      <c r="G106" s="16"/>
      <c r="H106" s="16"/>
      <c r="I106" s="16"/>
      <c r="J106" s="16"/>
    </row>
    <row r="107" spans="2:10" ht="16.5" customHeight="1">
      <c r="B107" s="15"/>
      <c r="C107" s="16"/>
      <c r="D107" s="16"/>
      <c r="E107" s="16"/>
      <c r="F107" s="16"/>
      <c r="G107" s="16"/>
      <c r="H107" s="16"/>
      <c r="I107" s="16"/>
      <c r="J107" s="16"/>
    </row>
    <row r="108" spans="2:10" ht="18.75" customHeight="1">
      <c r="B108" s="15"/>
      <c r="C108" s="20"/>
      <c r="D108" s="20"/>
      <c r="E108" s="20"/>
      <c r="F108" s="20"/>
      <c r="G108" s="17"/>
      <c r="H108" s="17"/>
      <c r="I108" s="17"/>
      <c r="J108" s="17"/>
    </row>
    <row r="109" spans="2:10" ht="12.75">
      <c r="B109" s="15"/>
      <c r="C109" s="20"/>
      <c r="D109" s="20"/>
      <c r="E109" s="20"/>
      <c r="F109" s="20"/>
      <c r="G109" s="17"/>
      <c r="H109" s="17"/>
      <c r="I109" s="17"/>
      <c r="J109" s="17"/>
    </row>
    <row r="110" spans="2:10" ht="12.75">
      <c r="B110" s="15"/>
      <c r="C110" s="16"/>
      <c r="D110" s="16"/>
      <c r="E110" s="16"/>
      <c r="F110" s="16"/>
      <c r="G110" s="17"/>
      <c r="H110" s="17"/>
      <c r="I110" s="17"/>
      <c r="J110" s="17"/>
    </row>
    <row r="111" spans="2:10" ht="12" customHeight="1">
      <c r="B111" s="15"/>
      <c r="C111" s="16"/>
      <c r="D111" s="16"/>
      <c r="E111" s="16"/>
      <c r="F111" s="16"/>
      <c r="G111" s="17"/>
      <c r="H111" s="17"/>
      <c r="I111" s="17"/>
      <c r="J111" s="17"/>
    </row>
    <row r="112" spans="2:10" ht="18" customHeight="1">
      <c r="B112" s="15"/>
      <c r="C112" s="16"/>
      <c r="D112" s="16"/>
      <c r="E112" s="16"/>
      <c r="F112" s="16"/>
      <c r="G112" s="17"/>
      <c r="H112" s="17"/>
      <c r="I112" s="17"/>
      <c r="J112" s="17"/>
    </row>
    <row r="113" spans="2:10" ht="12.75">
      <c r="B113" s="15"/>
      <c r="C113" s="16"/>
      <c r="D113" s="16"/>
      <c r="E113" s="16"/>
      <c r="F113" s="16"/>
      <c r="G113" s="17"/>
      <c r="H113" s="17"/>
      <c r="I113" s="17"/>
      <c r="J113" s="17"/>
    </row>
    <row r="114" spans="2:10" ht="12.75">
      <c r="B114" s="15"/>
      <c r="C114" s="16"/>
      <c r="D114" s="16"/>
      <c r="E114" s="16"/>
      <c r="F114" s="16"/>
      <c r="G114" s="17"/>
      <c r="H114" s="17"/>
      <c r="I114" s="17"/>
      <c r="J114" s="17"/>
    </row>
    <row r="115" spans="2:10" ht="12.75">
      <c r="B115" s="15"/>
      <c r="C115" s="16"/>
      <c r="D115" s="16"/>
      <c r="E115" s="16"/>
      <c r="F115" s="16"/>
      <c r="G115" s="17"/>
      <c r="H115" s="17"/>
      <c r="I115" s="17"/>
      <c r="J115" s="17"/>
    </row>
    <row r="116" spans="2:10" ht="12.75">
      <c r="B116" s="15"/>
      <c r="C116" s="16"/>
      <c r="D116" s="16"/>
      <c r="E116" s="16"/>
      <c r="F116" s="16"/>
      <c r="G116" s="17"/>
      <c r="H116" s="17"/>
      <c r="I116" s="17"/>
      <c r="J116" s="17"/>
    </row>
    <row r="117" spans="2:10" ht="12.75" customHeight="1">
      <c r="B117" s="15"/>
      <c r="C117" s="16"/>
      <c r="D117" s="16"/>
      <c r="E117" s="16"/>
      <c r="F117" s="16"/>
      <c r="G117" s="17"/>
      <c r="H117" s="17"/>
      <c r="I117" s="17"/>
      <c r="J117" s="17"/>
    </row>
    <row r="118" spans="2:10" ht="12.75" customHeight="1">
      <c r="B118" s="15"/>
      <c r="C118" s="20"/>
      <c r="D118" s="20"/>
      <c r="E118" s="20"/>
      <c r="F118" s="20"/>
      <c r="G118" s="17"/>
      <c r="H118" s="17"/>
      <c r="I118" s="17"/>
      <c r="J118" s="17"/>
    </row>
    <row r="119" spans="2:10" ht="18" customHeight="1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2.75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12.75">
      <c r="B121" s="6"/>
      <c r="C121" s="6"/>
      <c r="D121" s="6"/>
      <c r="E121" s="6"/>
      <c r="F121" s="6"/>
      <c r="G121" s="6"/>
      <c r="H121" s="6"/>
      <c r="I121" s="6"/>
      <c r="J121" s="6"/>
    </row>
    <row r="122" ht="12.75" customHeight="1"/>
    <row r="123" ht="12.75" customHeight="1"/>
    <row r="124" ht="18" customHeight="1"/>
    <row r="128" ht="12.75">
      <c r="J128" s="9"/>
    </row>
    <row r="130" ht="12.75" customHeight="1"/>
    <row r="131" spans="3:10" ht="12.75" customHeight="1">
      <c r="C131" s="2"/>
      <c r="D131" s="2"/>
      <c r="E131" s="2"/>
      <c r="F131" s="2"/>
      <c r="G131" s="2"/>
      <c r="H131" s="2"/>
      <c r="I131" s="2"/>
      <c r="J131" s="2"/>
    </row>
    <row r="132" spans="3:10" ht="12.75" customHeight="1">
      <c r="C132" s="2"/>
      <c r="D132" s="2"/>
      <c r="E132" s="2"/>
      <c r="F132" s="2"/>
      <c r="G132" s="2"/>
      <c r="H132" s="2"/>
      <c r="I132" s="2"/>
      <c r="J132" s="2"/>
    </row>
    <row r="133" ht="12.75" customHeight="1"/>
    <row r="134" ht="12.75" customHeight="1"/>
    <row r="135" spans="9:10" ht="12.75" customHeight="1">
      <c r="I135" s="1"/>
      <c r="J135" s="1"/>
    </row>
    <row r="136" spans="3:10" ht="12.75" customHeight="1">
      <c r="C136" s="7"/>
      <c r="D136" s="7"/>
      <c r="E136" s="7"/>
      <c r="F136" s="7"/>
      <c r="G136" s="4"/>
      <c r="H136" s="4"/>
      <c r="I136" s="3"/>
      <c r="J136" s="3"/>
    </row>
    <row r="137" spans="3:10" ht="12.75" customHeight="1">
      <c r="C137" s="7"/>
      <c r="D137" s="7"/>
      <c r="E137" s="7"/>
      <c r="F137" s="7"/>
      <c r="G137" s="3"/>
      <c r="H137" s="3"/>
      <c r="I137" s="4"/>
      <c r="J137" s="4"/>
    </row>
    <row r="138" spans="3:10" ht="12.75" customHeight="1">
      <c r="C138" s="3"/>
      <c r="D138" s="3"/>
      <c r="E138" s="3"/>
      <c r="F138" s="3"/>
      <c r="G138" s="6"/>
      <c r="H138" s="6"/>
      <c r="I138" s="6"/>
      <c r="J138" s="6"/>
    </row>
    <row r="139" spans="3:10" ht="12.75" customHeight="1">
      <c r="C139" s="3"/>
      <c r="D139" s="3"/>
      <c r="E139" s="3"/>
      <c r="F139" s="3"/>
      <c r="G139" s="6"/>
      <c r="H139" s="6"/>
      <c r="I139" s="6"/>
      <c r="J139" s="6"/>
    </row>
    <row r="140" spans="3:10" ht="18" customHeight="1">
      <c r="C140" s="3"/>
      <c r="D140" s="3"/>
      <c r="E140" s="3"/>
      <c r="F140" s="3"/>
      <c r="G140" s="6"/>
      <c r="H140" s="6"/>
      <c r="I140" s="6"/>
      <c r="J140" s="6"/>
    </row>
    <row r="141" spans="3:10" ht="12.75">
      <c r="C141" s="3"/>
      <c r="D141" s="3"/>
      <c r="E141" s="3"/>
      <c r="F141" s="3"/>
      <c r="G141" s="6"/>
      <c r="H141" s="6"/>
      <c r="I141" s="6"/>
      <c r="J141" s="6"/>
    </row>
    <row r="142" spans="3:10" ht="12.75">
      <c r="C142" s="3"/>
      <c r="D142" s="3"/>
      <c r="E142" s="3"/>
      <c r="F142" s="3"/>
      <c r="G142" s="6"/>
      <c r="H142" s="6"/>
      <c r="I142" s="6"/>
      <c r="J142" s="6"/>
    </row>
    <row r="143" spans="3:10" ht="12.75">
      <c r="C143" s="3"/>
      <c r="D143" s="3"/>
      <c r="E143" s="3"/>
      <c r="F143" s="3"/>
      <c r="G143" s="6"/>
      <c r="H143" s="6"/>
      <c r="I143" s="6"/>
      <c r="J143" s="6"/>
    </row>
    <row r="144" spans="3:10" ht="12.75">
      <c r="C144" s="3"/>
      <c r="D144" s="3"/>
      <c r="E144" s="3"/>
      <c r="F144" s="3"/>
      <c r="G144" s="6"/>
      <c r="H144" s="6"/>
      <c r="I144" s="6"/>
      <c r="J144" s="6"/>
    </row>
    <row r="145" spans="3:10" ht="12.75">
      <c r="C145" s="3"/>
      <c r="D145" s="3"/>
      <c r="E145" s="3"/>
      <c r="F145" s="3"/>
      <c r="G145" s="6"/>
      <c r="H145" s="6"/>
      <c r="I145" s="6"/>
      <c r="J145" s="6"/>
    </row>
    <row r="146" spans="3:11" ht="12.75">
      <c r="C146" s="3"/>
      <c r="D146" s="3"/>
      <c r="E146" s="3"/>
      <c r="F146" s="3"/>
      <c r="G146" s="6"/>
      <c r="H146" s="6"/>
      <c r="I146" s="6"/>
      <c r="J146" s="6"/>
      <c r="K146" s="9"/>
    </row>
    <row r="147" spans="3:10" ht="12.75">
      <c r="C147" s="8"/>
      <c r="D147" s="8"/>
      <c r="E147" s="8"/>
      <c r="F147" s="8"/>
      <c r="G147" s="6"/>
      <c r="H147" s="6"/>
      <c r="I147" s="6"/>
      <c r="J147" s="6"/>
    </row>
    <row r="148" spans="3:10" ht="12.75">
      <c r="C148" s="3"/>
      <c r="D148" s="3"/>
      <c r="E148" s="3"/>
      <c r="F148" s="3"/>
      <c r="G148" s="6"/>
      <c r="H148" s="6"/>
      <c r="I148" s="6"/>
      <c r="J148" s="6"/>
    </row>
    <row r="149" spans="3:11" ht="12.75">
      <c r="C149" s="3"/>
      <c r="D149" s="3"/>
      <c r="E149" s="3"/>
      <c r="F149" s="3"/>
      <c r="G149" s="6"/>
      <c r="H149" s="6"/>
      <c r="I149" s="6"/>
      <c r="J149" s="6"/>
      <c r="K149" s="2"/>
    </row>
    <row r="150" spans="3:11" ht="12.75">
      <c r="C150" s="3"/>
      <c r="D150" s="3"/>
      <c r="E150" s="3"/>
      <c r="F150" s="3"/>
      <c r="G150" s="6"/>
      <c r="H150" s="6"/>
      <c r="I150" s="6"/>
      <c r="J150" s="6"/>
      <c r="K150" s="2"/>
    </row>
    <row r="151" spans="3:10" ht="12.75">
      <c r="C151" s="3"/>
      <c r="D151" s="3"/>
      <c r="E151" s="3"/>
      <c r="F151" s="3"/>
      <c r="G151" s="6"/>
      <c r="H151" s="6"/>
      <c r="I151" s="6"/>
      <c r="J151" s="6"/>
    </row>
    <row r="152" spans="3:10" ht="12.75">
      <c r="C152" s="3"/>
      <c r="D152" s="3"/>
      <c r="E152" s="3"/>
      <c r="F152" s="3"/>
      <c r="G152" s="6"/>
      <c r="H152" s="6"/>
      <c r="I152" s="6"/>
      <c r="J152" s="6"/>
    </row>
    <row r="153" spans="3:10" ht="12.75">
      <c r="C153" s="3"/>
      <c r="D153" s="3"/>
      <c r="E153" s="3"/>
      <c r="F153" s="3"/>
      <c r="G153" s="6"/>
      <c r="H153" s="6"/>
      <c r="I153" s="6"/>
      <c r="J153" s="6"/>
    </row>
    <row r="154" spans="3:10" ht="12.75">
      <c r="C154" s="3"/>
      <c r="D154" s="3"/>
      <c r="E154" s="3"/>
      <c r="F154" s="3"/>
      <c r="G154" s="6"/>
      <c r="H154" s="6"/>
      <c r="I154" s="6"/>
      <c r="J154" s="6"/>
    </row>
    <row r="155" spans="3:10" ht="12.75">
      <c r="C155" s="3"/>
      <c r="D155" s="3"/>
      <c r="E155" s="3"/>
      <c r="F155" s="3"/>
      <c r="G155" s="6"/>
      <c r="H155" s="6"/>
      <c r="I155" s="6"/>
      <c r="J155" s="6"/>
    </row>
    <row r="156" spans="3:10" ht="12.75">
      <c r="C156" s="3"/>
      <c r="D156" s="3"/>
      <c r="E156" s="3"/>
      <c r="F156" s="3"/>
      <c r="G156" s="6"/>
      <c r="H156" s="6"/>
      <c r="I156" s="6"/>
      <c r="J156" s="6"/>
    </row>
    <row r="157" spans="3:10" ht="12.75">
      <c r="C157" s="8"/>
      <c r="D157" s="8"/>
      <c r="E157" s="8"/>
      <c r="F157" s="8"/>
      <c r="G157" s="6"/>
      <c r="H157" s="6"/>
      <c r="I157" s="6"/>
      <c r="J157" s="6"/>
    </row>
    <row r="158" spans="3:10" ht="15.75" customHeight="1">
      <c r="C158" s="8"/>
      <c r="D158" s="8"/>
      <c r="E158" s="8"/>
      <c r="F158" s="8"/>
      <c r="G158" s="6"/>
      <c r="H158" s="6"/>
      <c r="I158" s="6"/>
      <c r="J158" s="6"/>
    </row>
    <row r="159" ht="16.5" customHeight="1"/>
    <row r="160" ht="18.75" customHeight="1"/>
    <row r="169" ht="18" customHeight="1"/>
    <row r="170" ht="18" customHeight="1"/>
    <row r="179" ht="18" customHeight="1"/>
    <row r="180" ht="18" customHeight="1"/>
    <row r="181" spans="3:10" ht="12.75">
      <c r="C181" s="6"/>
      <c r="D181" s="6"/>
      <c r="E181" s="6"/>
      <c r="F181" s="6"/>
      <c r="G181" s="6"/>
      <c r="H181" s="6"/>
      <c r="I181" s="6"/>
      <c r="J181" s="10"/>
    </row>
    <row r="182" spans="3:10" ht="12.75">
      <c r="C182" s="6"/>
      <c r="D182" s="6"/>
      <c r="E182" s="6"/>
      <c r="F182" s="6"/>
      <c r="G182" s="6"/>
      <c r="H182" s="6"/>
      <c r="I182" s="6"/>
      <c r="J182" s="6"/>
    </row>
    <row r="183" spans="3:10" ht="12.75">
      <c r="C183" s="6"/>
      <c r="D183" s="6"/>
      <c r="E183" s="6"/>
      <c r="F183" s="6"/>
      <c r="G183" s="6"/>
      <c r="H183" s="6"/>
      <c r="I183" s="6"/>
      <c r="J183" s="6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11"/>
      <c r="D186" s="11"/>
      <c r="E186" s="11"/>
      <c r="F186" s="11"/>
      <c r="G186" s="11"/>
      <c r="H186" s="11"/>
      <c r="I186" s="11"/>
      <c r="J186" s="11"/>
    </row>
    <row r="187" spans="3:10" ht="12.75">
      <c r="C187" s="6"/>
      <c r="D187" s="6"/>
      <c r="E187" s="6"/>
      <c r="F187" s="6"/>
      <c r="G187" s="6"/>
      <c r="H187" s="6"/>
      <c r="I187" s="6"/>
      <c r="J187" s="6"/>
    </row>
    <row r="188" spans="3:10" ht="12.75">
      <c r="C188" s="6"/>
      <c r="D188" s="6"/>
      <c r="E188" s="6"/>
      <c r="F188" s="6"/>
      <c r="G188" s="6"/>
      <c r="H188" s="6"/>
      <c r="I188" s="3"/>
      <c r="J188" s="3"/>
    </row>
    <row r="189" spans="3:10" ht="12.75">
      <c r="C189" s="7"/>
      <c r="D189" s="7"/>
      <c r="E189" s="7"/>
      <c r="F189" s="7"/>
      <c r="G189" s="4"/>
      <c r="H189" s="4"/>
      <c r="I189" s="3"/>
      <c r="J189" s="3"/>
    </row>
    <row r="190" spans="3:10" ht="12.75">
      <c r="C190" s="7"/>
      <c r="D190" s="7"/>
      <c r="E190" s="7"/>
      <c r="F190" s="7"/>
      <c r="G190" s="3"/>
      <c r="H190" s="3"/>
      <c r="I190" s="4"/>
      <c r="J190" s="4"/>
    </row>
    <row r="191" spans="3:10" ht="12.75">
      <c r="C191" s="3"/>
      <c r="D191" s="3"/>
      <c r="E191" s="3"/>
      <c r="F191" s="3"/>
      <c r="G191" s="6"/>
      <c r="H191" s="6"/>
      <c r="I191" s="6"/>
      <c r="J191" s="6"/>
    </row>
    <row r="192" spans="3:10" ht="12.75">
      <c r="C192" s="3"/>
      <c r="D192" s="3"/>
      <c r="E192" s="3"/>
      <c r="F192" s="3"/>
      <c r="G192" s="6"/>
      <c r="H192" s="6"/>
      <c r="I192" s="6"/>
      <c r="J192" s="6"/>
    </row>
    <row r="193" spans="3:10" ht="12.75">
      <c r="C193" s="3"/>
      <c r="D193" s="3"/>
      <c r="E193" s="3"/>
      <c r="F193" s="3"/>
      <c r="G193" s="6"/>
      <c r="H193" s="6"/>
      <c r="I193" s="6"/>
      <c r="J193" s="6"/>
    </row>
    <row r="194" spans="3:10" ht="12.75">
      <c r="C194" s="3"/>
      <c r="D194" s="3"/>
      <c r="E194" s="3"/>
      <c r="F194" s="3"/>
      <c r="G194" s="6"/>
      <c r="H194" s="6"/>
      <c r="I194" s="6"/>
      <c r="J194" s="6"/>
    </row>
    <row r="195" spans="3:10" ht="12.75">
      <c r="C195" s="3"/>
      <c r="D195" s="3"/>
      <c r="E195" s="3"/>
      <c r="F195" s="3"/>
      <c r="G195" s="6"/>
      <c r="H195" s="6"/>
      <c r="I195" s="6"/>
      <c r="J195" s="6"/>
    </row>
    <row r="196" spans="3:10" ht="12.75">
      <c r="C196" s="3"/>
      <c r="D196" s="3"/>
      <c r="E196" s="3"/>
      <c r="F196" s="3"/>
      <c r="G196" s="6"/>
      <c r="H196" s="6"/>
      <c r="I196" s="6"/>
      <c r="J196" s="6"/>
    </row>
    <row r="197" spans="3:10" ht="12.75">
      <c r="C197" s="3"/>
      <c r="D197" s="3"/>
      <c r="E197" s="3"/>
      <c r="F197" s="3"/>
      <c r="G197" s="6"/>
      <c r="H197" s="6"/>
      <c r="I197" s="6"/>
      <c r="J197" s="6"/>
    </row>
    <row r="198" spans="3:10" ht="12.75">
      <c r="C198" s="3"/>
      <c r="D198" s="3"/>
      <c r="E198" s="3"/>
      <c r="F198" s="3"/>
      <c r="G198" s="6"/>
      <c r="H198" s="6"/>
      <c r="I198" s="6"/>
      <c r="J198" s="6"/>
    </row>
    <row r="199" spans="3:11" ht="12.75">
      <c r="C199" s="8"/>
      <c r="D199" s="8"/>
      <c r="E199" s="8"/>
      <c r="F199" s="8"/>
      <c r="G199" s="6"/>
      <c r="H199" s="6"/>
      <c r="I199" s="6"/>
      <c r="J199" s="6"/>
      <c r="K199" s="10"/>
    </row>
    <row r="200" spans="3:11" ht="12.75">
      <c r="C200" s="6"/>
      <c r="D200" s="6"/>
      <c r="E200" s="6"/>
      <c r="F200" s="6"/>
      <c r="G200" s="6"/>
      <c r="H200" s="6"/>
      <c r="I200" s="6"/>
      <c r="J200" s="6"/>
      <c r="K200" s="6"/>
    </row>
    <row r="201" spans="3:11" ht="12.75">
      <c r="C201" s="6"/>
      <c r="D201" s="6"/>
      <c r="E201" s="6"/>
      <c r="F201" s="6"/>
      <c r="G201" s="6"/>
      <c r="H201" s="6"/>
      <c r="I201" s="6"/>
      <c r="J201" s="6"/>
      <c r="K201" s="6"/>
    </row>
    <row r="202" spans="3:11" ht="12.75">
      <c r="C202" s="6"/>
      <c r="D202" s="6"/>
      <c r="E202" s="6"/>
      <c r="F202" s="6"/>
      <c r="G202" s="6"/>
      <c r="H202" s="6"/>
      <c r="I202" s="6"/>
      <c r="J202" s="6"/>
      <c r="K202" s="8"/>
    </row>
    <row r="203" ht="12.75">
      <c r="K203" s="8"/>
    </row>
    <row r="204" ht="12.75">
      <c r="K204" s="11"/>
    </row>
    <row r="205" ht="12.75">
      <c r="K205" s="6"/>
    </row>
    <row r="206" ht="12.75">
      <c r="K206" s="3"/>
    </row>
    <row r="207" ht="12.75">
      <c r="K207" s="6"/>
    </row>
    <row r="208" ht="12.75">
      <c r="K208" s="6"/>
    </row>
    <row r="209" ht="12.75">
      <c r="K209" s="6"/>
    </row>
    <row r="210" ht="12.75">
      <c r="K210" s="6"/>
    </row>
    <row r="211" ht="12.75">
      <c r="K211" s="6"/>
    </row>
    <row r="212" ht="12.75">
      <c r="K212" s="6"/>
    </row>
    <row r="213" ht="18" customHeight="1">
      <c r="K213" s="6"/>
    </row>
    <row r="214" ht="12.75">
      <c r="K214" s="6"/>
    </row>
    <row r="215" ht="12.75">
      <c r="K215" s="6"/>
    </row>
    <row r="216" ht="12.75">
      <c r="K216" s="6"/>
    </row>
    <row r="217" ht="12.75">
      <c r="K217" s="6"/>
    </row>
    <row r="218" ht="12.75">
      <c r="K218" s="6"/>
    </row>
    <row r="219" ht="12.75">
      <c r="K219" s="6"/>
    </row>
    <row r="220" ht="12.75">
      <c r="K220" s="6"/>
    </row>
    <row r="221" ht="18" customHeight="1"/>
    <row r="236" spans="3:10" ht="12.75">
      <c r="C236" s="6"/>
      <c r="D236" s="6"/>
      <c r="E236" s="6"/>
      <c r="F236" s="6"/>
      <c r="G236" s="6"/>
      <c r="H236" s="6"/>
      <c r="I236" s="10"/>
      <c r="J236" s="10"/>
    </row>
    <row r="237" spans="3:10" ht="12.75">
      <c r="C237" s="6"/>
      <c r="D237" s="6"/>
      <c r="E237" s="6"/>
      <c r="F237" s="6"/>
      <c r="G237" s="6"/>
      <c r="H237" s="6"/>
      <c r="I237" s="6"/>
      <c r="J237" s="6"/>
    </row>
    <row r="238" spans="3:10" ht="12.75">
      <c r="C238" s="6"/>
      <c r="D238" s="6"/>
      <c r="E238" s="6"/>
      <c r="F238" s="6"/>
      <c r="G238" s="6"/>
      <c r="H238" s="6"/>
      <c r="I238" s="6"/>
      <c r="J238" s="6"/>
    </row>
    <row r="239" spans="3:10" ht="12.75">
      <c r="C239" s="8"/>
      <c r="D239" s="8"/>
      <c r="E239" s="8"/>
      <c r="F239" s="8"/>
      <c r="G239" s="8"/>
      <c r="H239" s="8"/>
      <c r="I239" s="8"/>
      <c r="J239" s="8"/>
    </row>
    <row r="240" spans="3:10" ht="12.75">
      <c r="C240" s="8"/>
      <c r="D240" s="8"/>
      <c r="E240" s="8"/>
      <c r="F240" s="8"/>
      <c r="G240" s="8"/>
      <c r="H240" s="8"/>
      <c r="I240" s="8"/>
      <c r="J240" s="8"/>
    </row>
    <row r="241" spans="3:10" ht="12.75">
      <c r="C241" s="8"/>
      <c r="D241" s="8"/>
      <c r="E241" s="8"/>
      <c r="F241" s="8"/>
      <c r="G241" s="8"/>
      <c r="H241" s="8"/>
      <c r="I241" s="8"/>
      <c r="J241" s="8"/>
    </row>
    <row r="242" spans="3:10" ht="12.75">
      <c r="C242" s="6"/>
      <c r="D242" s="6"/>
      <c r="E242" s="6"/>
      <c r="F242" s="6"/>
      <c r="G242" s="6"/>
      <c r="H242" s="6"/>
      <c r="I242" s="6"/>
      <c r="J242" s="6"/>
    </row>
    <row r="243" spans="3:10" ht="12.75">
      <c r="C243" s="6"/>
      <c r="D243" s="6"/>
      <c r="E243" s="6"/>
      <c r="F243" s="6"/>
      <c r="G243" s="6"/>
      <c r="H243" s="6"/>
      <c r="I243" s="6"/>
      <c r="J243" s="6"/>
    </row>
    <row r="244" spans="3:10" ht="12.75">
      <c r="C244" s="8"/>
      <c r="D244" s="8"/>
      <c r="E244" s="8"/>
      <c r="F244" s="8"/>
      <c r="G244" s="8"/>
      <c r="H244" s="8"/>
      <c r="I244" s="8"/>
      <c r="J244" s="8"/>
    </row>
    <row r="245" spans="3:10" ht="12.75">
      <c r="C245" s="6"/>
      <c r="D245" s="6"/>
      <c r="E245" s="6"/>
      <c r="F245" s="6"/>
      <c r="G245" s="6"/>
      <c r="H245" s="6"/>
      <c r="I245" s="6"/>
      <c r="J245" s="6"/>
    </row>
    <row r="246" spans="3:10" ht="12.75">
      <c r="C246" s="8"/>
      <c r="D246" s="8"/>
      <c r="E246" s="8"/>
      <c r="F246" s="8"/>
      <c r="G246" s="8"/>
      <c r="H246" s="8"/>
      <c r="I246" s="8"/>
      <c r="J246" s="8"/>
    </row>
    <row r="247" spans="3:10" ht="12.75">
      <c r="C247" s="3"/>
      <c r="D247" s="3"/>
      <c r="E247" s="3"/>
      <c r="F247" s="3"/>
      <c r="G247" s="3"/>
      <c r="H247" s="3"/>
      <c r="I247" s="3"/>
      <c r="J247" s="3"/>
    </row>
    <row r="248" spans="3:10" ht="12.75">
      <c r="C248" s="3"/>
      <c r="D248" s="3"/>
      <c r="E248" s="3"/>
      <c r="F248" s="3"/>
      <c r="G248" s="3"/>
      <c r="H248" s="3"/>
      <c r="I248" s="3"/>
      <c r="J248" s="3"/>
    </row>
    <row r="249" spans="3:10" ht="12.75">
      <c r="C249" s="3"/>
      <c r="D249" s="3"/>
      <c r="E249" s="3"/>
      <c r="F249" s="3"/>
      <c r="G249" s="3"/>
      <c r="H249" s="3"/>
      <c r="I249" s="3"/>
      <c r="J249" s="3"/>
    </row>
    <row r="250" spans="3:10" ht="12.75">
      <c r="C250" s="3"/>
      <c r="D250" s="3"/>
      <c r="E250" s="3"/>
      <c r="F250" s="3"/>
      <c r="G250" s="3"/>
      <c r="H250" s="3"/>
      <c r="I250" s="3"/>
      <c r="J250" s="3"/>
    </row>
    <row r="251" spans="3:10" ht="12.75">
      <c r="C251" s="3"/>
      <c r="D251" s="3"/>
      <c r="E251" s="3"/>
      <c r="F251" s="3"/>
      <c r="G251" s="3"/>
      <c r="H251" s="3"/>
      <c r="I251" s="3"/>
      <c r="J251" s="3"/>
    </row>
    <row r="252" spans="3:10" ht="12.75">
      <c r="C252" s="3"/>
      <c r="D252" s="3"/>
      <c r="E252" s="3"/>
      <c r="F252" s="3"/>
      <c r="G252" s="3"/>
      <c r="H252" s="3"/>
      <c r="I252" s="3"/>
      <c r="J252" s="3"/>
    </row>
    <row r="253" spans="3:10" ht="12.75">
      <c r="C253" s="3"/>
      <c r="D253" s="3"/>
      <c r="E253" s="3"/>
      <c r="F253" s="3"/>
      <c r="G253" s="3"/>
      <c r="H253" s="3"/>
      <c r="I253" s="3"/>
      <c r="J253" s="3"/>
    </row>
    <row r="254" spans="3:11" ht="12.75">
      <c r="C254" s="3"/>
      <c r="D254" s="3"/>
      <c r="E254" s="3"/>
      <c r="F254" s="3"/>
      <c r="G254" s="3"/>
      <c r="H254" s="3"/>
      <c r="I254" s="3"/>
      <c r="J254" s="3"/>
      <c r="K254" s="10"/>
    </row>
    <row r="255" spans="3:11" ht="12.75">
      <c r="C255" s="3"/>
      <c r="D255" s="3"/>
      <c r="E255" s="3"/>
      <c r="F255" s="3"/>
      <c r="G255" s="3"/>
      <c r="H255" s="3"/>
      <c r="I255" s="3"/>
      <c r="J255" s="3"/>
      <c r="K255" s="6"/>
    </row>
    <row r="256" spans="3:11" ht="12.75">
      <c r="C256" s="3"/>
      <c r="D256" s="3"/>
      <c r="E256" s="3"/>
      <c r="F256" s="3"/>
      <c r="G256" s="3"/>
      <c r="H256" s="3"/>
      <c r="I256" s="3"/>
      <c r="J256" s="3"/>
      <c r="K256" s="6"/>
    </row>
    <row r="257" spans="3:11" ht="12.75">
      <c r="C257" s="3"/>
      <c r="D257" s="3"/>
      <c r="E257" s="3"/>
      <c r="F257" s="3"/>
      <c r="G257" s="3"/>
      <c r="H257" s="3"/>
      <c r="I257" s="3"/>
      <c r="J257" s="3"/>
      <c r="K257" s="8"/>
    </row>
    <row r="258" spans="3:11" ht="12.75">
      <c r="C258" s="3"/>
      <c r="D258" s="3"/>
      <c r="E258" s="3"/>
      <c r="F258" s="3"/>
      <c r="G258" s="3"/>
      <c r="H258" s="3"/>
      <c r="I258" s="3"/>
      <c r="J258" s="3"/>
      <c r="K258" s="8"/>
    </row>
    <row r="259" spans="3:11" ht="12.75">
      <c r="C259" s="3"/>
      <c r="D259" s="3"/>
      <c r="E259" s="3"/>
      <c r="F259" s="3"/>
      <c r="G259" s="3"/>
      <c r="H259" s="3"/>
      <c r="I259" s="3"/>
      <c r="J259" s="3"/>
      <c r="K259" s="8"/>
    </row>
    <row r="260" spans="3:11" ht="12.75">
      <c r="C260" s="3"/>
      <c r="D260" s="3"/>
      <c r="E260" s="3"/>
      <c r="F260" s="3"/>
      <c r="G260" s="3"/>
      <c r="H260" s="3"/>
      <c r="I260" s="3"/>
      <c r="J260" s="3"/>
      <c r="K260" s="6"/>
    </row>
    <row r="261" spans="3:11" ht="12.75">
      <c r="C261" s="3"/>
      <c r="D261" s="3"/>
      <c r="E261" s="3"/>
      <c r="F261" s="3"/>
      <c r="G261" s="3"/>
      <c r="H261" s="3"/>
      <c r="I261" s="3"/>
      <c r="J261" s="3"/>
      <c r="K261" s="6"/>
    </row>
    <row r="262" spans="3:11" ht="12.75">
      <c r="C262" s="3"/>
      <c r="D262" s="3"/>
      <c r="E262" s="3"/>
      <c r="F262" s="3"/>
      <c r="G262" s="3"/>
      <c r="H262" s="3"/>
      <c r="I262" s="3"/>
      <c r="J262" s="3"/>
      <c r="K262" s="8"/>
    </row>
    <row r="263" spans="3:11" ht="12.75">
      <c r="C263" s="3"/>
      <c r="D263" s="3"/>
      <c r="E263" s="3"/>
      <c r="F263" s="3"/>
      <c r="G263" s="3"/>
      <c r="H263" s="3"/>
      <c r="I263" s="3"/>
      <c r="J263" s="3"/>
      <c r="K263" s="6"/>
    </row>
    <row r="264" spans="3:11" ht="12.75">
      <c r="C264" s="8"/>
      <c r="D264" s="8"/>
      <c r="E264" s="8"/>
      <c r="F264" s="8"/>
      <c r="G264" s="8"/>
      <c r="H264" s="8"/>
      <c r="I264" s="8"/>
      <c r="J264" s="8"/>
      <c r="K264" s="8"/>
    </row>
    <row r="265" spans="3:11" ht="12.75">
      <c r="C265" s="3"/>
      <c r="D265" s="3"/>
      <c r="E265" s="3"/>
      <c r="F265" s="3"/>
      <c r="G265" s="3"/>
      <c r="H265" s="3"/>
      <c r="I265" s="3"/>
      <c r="J265" s="3"/>
      <c r="K265" s="6"/>
    </row>
    <row r="266" spans="3:11" ht="12.75">
      <c r="C266" s="3"/>
      <c r="D266" s="3"/>
      <c r="E266" s="3"/>
      <c r="F266" s="3"/>
      <c r="G266" s="3"/>
      <c r="H266" s="3"/>
      <c r="I266" s="3"/>
      <c r="J266" s="3"/>
      <c r="K266" s="6"/>
    </row>
    <row r="267" spans="3:11" ht="12.75">
      <c r="C267" s="3"/>
      <c r="D267" s="3"/>
      <c r="E267" s="3"/>
      <c r="F267" s="3"/>
      <c r="G267" s="3"/>
      <c r="H267" s="3"/>
      <c r="I267" s="3"/>
      <c r="J267" s="3"/>
      <c r="K267" s="6"/>
    </row>
    <row r="268" spans="3:11" ht="18" customHeight="1">
      <c r="C268" s="3"/>
      <c r="D268" s="3"/>
      <c r="E268" s="3"/>
      <c r="F268" s="3"/>
      <c r="G268" s="3"/>
      <c r="H268" s="3"/>
      <c r="I268" s="3"/>
      <c r="J268" s="3"/>
      <c r="K268" s="6"/>
    </row>
    <row r="269" spans="3:11" ht="18" customHeight="1">
      <c r="C269" s="3"/>
      <c r="D269" s="3"/>
      <c r="E269" s="3"/>
      <c r="F269" s="3"/>
      <c r="G269" s="3"/>
      <c r="H269" s="3"/>
      <c r="I269" s="3"/>
      <c r="J269" s="3"/>
      <c r="K269" s="6"/>
    </row>
    <row r="270" spans="3:11" ht="18" customHeight="1">
      <c r="C270" s="3"/>
      <c r="D270" s="3"/>
      <c r="E270" s="3"/>
      <c r="F270" s="3"/>
      <c r="G270" s="3"/>
      <c r="H270" s="3"/>
      <c r="I270" s="3"/>
      <c r="J270" s="3"/>
      <c r="K270" s="6"/>
    </row>
    <row r="271" spans="3:11" ht="12.75">
      <c r="C271" s="3"/>
      <c r="D271" s="3"/>
      <c r="E271" s="3"/>
      <c r="F271" s="3"/>
      <c r="G271" s="3"/>
      <c r="H271" s="3"/>
      <c r="I271" s="3"/>
      <c r="J271" s="3"/>
      <c r="K271" s="6"/>
    </row>
    <row r="272" spans="3:11" ht="12.75">
      <c r="C272" s="3"/>
      <c r="D272" s="3"/>
      <c r="E272" s="3"/>
      <c r="F272" s="3"/>
      <c r="G272" s="3"/>
      <c r="H272" s="3"/>
      <c r="I272" s="3"/>
      <c r="J272" s="3"/>
      <c r="K272" s="6"/>
    </row>
    <row r="273" spans="3:11" ht="12.75">
      <c r="C273" s="3"/>
      <c r="D273" s="3"/>
      <c r="E273" s="3"/>
      <c r="F273" s="3"/>
      <c r="G273" s="3"/>
      <c r="H273" s="3"/>
      <c r="I273" s="3"/>
      <c r="J273" s="3"/>
      <c r="K273" s="6"/>
    </row>
    <row r="274" spans="3:11" ht="12.75">
      <c r="C274" s="3"/>
      <c r="D274" s="3"/>
      <c r="E274" s="3"/>
      <c r="F274" s="3"/>
      <c r="G274" s="3"/>
      <c r="H274" s="3"/>
      <c r="I274" s="3"/>
      <c r="J274" s="3"/>
      <c r="K274" s="6"/>
    </row>
    <row r="275" spans="3:11" ht="12.75">
      <c r="C275" s="3"/>
      <c r="D275" s="3"/>
      <c r="E275" s="3"/>
      <c r="F275" s="3"/>
      <c r="G275" s="3"/>
      <c r="H275" s="3"/>
      <c r="I275" s="3"/>
      <c r="J275" s="3"/>
      <c r="K275" s="6"/>
    </row>
    <row r="276" spans="3:11" ht="12.75">
      <c r="C276" s="3"/>
      <c r="D276" s="3"/>
      <c r="E276" s="3"/>
      <c r="F276" s="3"/>
      <c r="G276" s="3"/>
      <c r="H276" s="3"/>
      <c r="I276" s="3"/>
      <c r="J276" s="3"/>
      <c r="K276" s="6"/>
    </row>
    <row r="277" spans="3:11" ht="12.75">
      <c r="C277" s="3"/>
      <c r="D277" s="3"/>
      <c r="E277" s="3"/>
      <c r="F277" s="3"/>
      <c r="G277" s="3"/>
      <c r="H277" s="3"/>
      <c r="I277" s="3"/>
      <c r="J277" s="3"/>
      <c r="K277" s="6"/>
    </row>
    <row r="278" spans="3:11" ht="12.75">
      <c r="C278" s="3"/>
      <c r="D278" s="3"/>
      <c r="E278" s="3"/>
      <c r="F278" s="3"/>
      <c r="G278" s="3"/>
      <c r="H278" s="3"/>
      <c r="I278" s="3"/>
      <c r="J278" s="3"/>
      <c r="K278" s="6"/>
    </row>
    <row r="279" spans="3:11" ht="12.75">
      <c r="C279" s="8"/>
      <c r="D279" s="8"/>
      <c r="E279" s="8"/>
      <c r="F279" s="8"/>
      <c r="G279" s="8"/>
      <c r="H279" s="8"/>
      <c r="I279" s="8"/>
      <c r="J279" s="8"/>
      <c r="K279" s="6"/>
    </row>
    <row r="280" spans="3:11" ht="12.75">
      <c r="C280" s="6"/>
      <c r="D280" s="6"/>
      <c r="E280" s="6"/>
      <c r="F280" s="6"/>
      <c r="G280" s="6"/>
      <c r="H280" s="6"/>
      <c r="I280" s="6"/>
      <c r="J280" s="6"/>
      <c r="K280" s="6"/>
    </row>
    <row r="281" spans="3:11" ht="12.75">
      <c r="C281" s="6"/>
      <c r="D281" s="6"/>
      <c r="E281" s="6"/>
      <c r="F281" s="6"/>
      <c r="G281" s="6"/>
      <c r="H281" s="6"/>
      <c r="I281" s="6"/>
      <c r="J281" s="6"/>
      <c r="K281" s="6"/>
    </row>
    <row r="282" spans="3:11" ht="12.75">
      <c r="C282" s="6"/>
      <c r="D282" s="6"/>
      <c r="E282" s="6"/>
      <c r="F282" s="6"/>
      <c r="G282" s="6"/>
      <c r="H282" s="6"/>
      <c r="I282" s="6"/>
      <c r="J282" s="6"/>
      <c r="K282" s="6"/>
    </row>
    <row r="283" spans="3:11" ht="12.75">
      <c r="C283" s="6"/>
      <c r="D283" s="6"/>
      <c r="E283" s="6"/>
      <c r="F283" s="6"/>
      <c r="G283" s="6"/>
      <c r="H283" s="6"/>
      <c r="I283" s="6"/>
      <c r="J283" s="6"/>
      <c r="K283" s="6"/>
    </row>
    <row r="284" ht="12.75">
      <c r="K284" s="6"/>
    </row>
    <row r="285" ht="18" customHeight="1">
      <c r="K285" s="6"/>
    </row>
    <row r="286" ht="18" customHeight="1">
      <c r="K286" s="6"/>
    </row>
    <row r="287" ht="18" customHeight="1">
      <c r="K287" s="6"/>
    </row>
    <row r="288" ht="12.75">
      <c r="K288" s="6"/>
    </row>
    <row r="289" spans="3:11" ht="12.75">
      <c r="C289" s="6"/>
      <c r="D289" s="6"/>
      <c r="E289" s="6"/>
      <c r="F289" s="6"/>
      <c r="G289" s="6"/>
      <c r="H289" s="6"/>
      <c r="I289" s="6"/>
      <c r="J289" s="10"/>
      <c r="K289" s="6"/>
    </row>
    <row r="290" spans="3:11" ht="12.75">
      <c r="C290" s="6"/>
      <c r="D290" s="6"/>
      <c r="E290" s="6"/>
      <c r="F290" s="6"/>
      <c r="G290" s="6"/>
      <c r="H290" s="6"/>
      <c r="I290" s="6"/>
      <c r="J290" s="6"/>
      <c r="K290" s="6"/>
    </row>
    <row r="291" spans="3:11" ht="12.75">
      <c r="C291" s="6"/>
      <c r="D291" s="6"/>
      <c r="E291" s="6"/>
      <c r="F291" s="6"/>
      <c r="G291" s="6"/>
      <c r="H291" s="6"/>
      <c r="I291" s="6"/>
      <c r="J291" s="6"/>
      <c r="K291" s="6"/>
    </row>
    <row r="292" spans="3:11" ht="12.75">
      <c r="C292" s="8"/>
      <c r="D292" s="8"/>
      <c r="E292" s="8"/>
      <c r="F292" s="8"/>
      <c r="G292" s="8"/>
      <c r="H292" s="8"/>
      <c r="I292" s="8"/>
      <c r="J292" s="8"/>
      <c r="K292" s="6"/>
    </row>
    <row r="293" spans="3:11" ht="12.75">
      <c r="C293" s="8"/>
      <c r="D293" s="8"/>
      <c r="E293" s="8"/>
      <c r="F293" s="8"/>
      <c r="G293" s="8"/>
      <c r="H293" s="8"/>
      <c r="I293" s="8"/>
      <c r="J293" s="8"/>
      <c r="K293" s="6"/>
    </row>
    <row r="294" spans="3:11" ht="12.75">
      <c r="C294" s="6"/>
      <c r="D294" s="6"/>
      <c r="E294" s="6"/>
      <c r="F294" s="6"/>
      <c r="G294" s="6"/>
      <c r="H294" s="6"/>
      <c r="I294" s="6"/>
      <c r="J294" s="6"/>
      <c r="K294" s="6"/>
    </row>
    <row r="295" spans="3:11" ht="12.75">
      <c r="C295" s="6"/>
      <c r="D295" s="6"/>
      <c r="E295" s="6"/>
      <c r="F295" s="6"/>
      <c r="G295" s="6"/>
      <c r="H295" s="6"/>
      <c r="I295" s="6"/>
      <c r="J295" s="6"/>
      <c r="K295" s="6"/>
    </row>
    <row r="296" spans="3:11" ht="12.75">
      <c r="C296" s="6"/>
      <c r="D296" s="6"/>
      <c r="E296" s="6"/>
      <c r="F296" s="6"/>
      <c r="G296" s="6"/>
      <c r="H296" s="6"/>
      <c r="I296" s="3"/>
      <c r="J296" s="3"/>
      <c r="K296" s="6"/>
    </row>
    <row r="297" spans="3:11" ht="12.75">
      <c r="C297" s="7"/>
      <c r="D297" s="7"/>
      <c r="E297" s="7"/>
      <c r="F297" s="7"/>
      <c r="G297" s="12"/>
      <c r="H297" s="13"/>
      <c r="I297" s="13"/>
      <c r="J297" s="13"/>
      <c r="K297" s="6"/>
    </row>
    <row r="298" spans="3:11" ht="12.75">
      <c r="C298" s="7"/>
      <c r="D298" s="7"/>
      <c r="E298" s="7"/>
      <c r="F298" s="7"/>
      <c r="G298" s="12"/>
      <c r="H298" s="13"/>
      <c r="I298" s="8"/>
      <c r="J298" s="3"/>
      <c r="K298" s="6"/>
    </row>
    <row r="299" spans="3:11" ht="12.75">
      <c r="C299" s="7"/>
      <c r="D299" s="7"/>
      <c r="E299" s="7"/>
      <c r="F299" s="7"/>
      <c r="G299" s="12"/>
      <c r="H299" s="13"/>
      <c r="I299" s="13"/>
      <c r="J299" s="13"/>
      <c r="K299" s="6"/>
    </row>
    <row r="300" spans="3:11" ht="18" customHeight="1">
      <c r="C300" s="3"/>
      <c r="D300" s="3"/>
      <c r="E300" s="3"/>
      <c r="F300" s="3"/>
      <c r="G300" s="3"/>
      <c r="H300" s="3"/>
      <c r="I300" s="3"/>
      <c r="J300" s="3"/>
      <c r="K300" s="6"/>
    </row>
    <row r="301" spans="3:11" ht="18" customHeight="1">
      <c r="C301" s="3"/>
      <c r="D301" s="3"/>
      <c r="E301" s="3"/>
      <c r="F301" s="3"/>
      <c r="G301" s="3"/>
      <c r="H301" s="3"/>
      <c r="I301" s="3"/>
      <c r="J301" s="3"/>
      <c r="K301" s="6"/>
    </row>
    <row r="302" spans="3:10" ht="12.75">
      <c r="C302" s="3"/>
      <c r="D302" s="3"/>
      <c r="E302" s="3"/>
      <c r="F302" s="3"/>
      <c r="G302" s="6"/>
      <c r="H302" s="3"/>
      <c r="I302" s="3"/>
      <c r="J302" s="3"/>
    </row>
    <row r="303" spans="3:10" ht="12.75">
      <c r="C303" s="3"/>
      <c r="D303" s="3"/>
      <c r="E303" s="3"/>
      <c r="F303" s="3"/>
      <c r="G303" s="3"/>
      <c r="H303" s="3"/>
      <c r="I303" s="3"/>
      <c r="J303" s="3"/>
    </row>
    <row r="304" spans="3:10" ht="12.75">
      <c r="C304" s="3"/>
      <c r="D304" s="3"/>
      <c r="E304" s="3"/>
      <c r="F304" s="3"/>
      <c r="G304" s="3"/>
      <c r="H304" s="3"/>
      <c r="I304" s="3"/>
      <c r="J304" s="3"/>
    </row>
    <row r="305" spans="3:10" ht="12.75">
      <c r="C305" s="3"/>
      <c r="D305" s="3"/>
      <c r="E305" s="3"/>
      <c r="F305" s="3"/>
      <c r="G305" s="3"/>
      <c r="H305" s="3"/>
      <c r="I305" s="3"/>
      <c r="J305" s="3"/>
    </row>
    <row r="306" spans="3:10" ht="12.75">
      <c r="C306" s="3"/>
      <c r="D306" s="3"/>
      <c r="E306" s="3"/>
      <c r="F306" s="3"/>
      <c r="G306" s="3"/>
      <c r="H306" s="3"/>
      <c r="I306" s="3"/>
      <c r="J306" s="3"/>
    </row>
    <row r="307" spans="3:11" ht="12.75">
      <c r="C307" s="3"/>
      <c r="D307" s="3"/>
      <c r="E307" s="3"/>
      <c r="F307" s="3"/>
      <c r="G307" s="3"/>
      <c r="H307" s="3"/>
      <c r="I307" s="3"/>
      <c r="J307" s="3"/>
      <c r="K307" s="10"/>
    </row>
    <row r="308" spans="3:11" ht="12.75">
      <c r="C308" s="3"/>
      <c r="D308" s="3"/>
      <c r="E308" s="3"/>
      <c r="F308" s="3"/>
      <c r="G308" s="3"/>
      <c r="H308" s="3"/>
      <c r="I308" s="3"/>
      <c r="J308" s="3"/>
      <c r="K308" s="6"/>
    </row>
    <row r="309" spans="3:11" ht="12.75">
      <c r="C309" s="3"/>
      <c r="D309" s="3"/>
      <c r="E309" s="3"/>
      <c r="F309" s="3"/>
      <c r="G309" s="3"/>
      <c r="H309" s="3"/>
      <c r="I309" s="3"/>
      <c r="J309" s="3"/>
      <c r="K309" s="6"/>
    </row>
    <row r="310" spans="3:11" ht="12.75" customHeight="1">
      <c r="C310" s="8"/>
      <c r="D310" s="8"/>
      <c r="E310" s="8"/>
      <c r="F310" s="8"/>
      <c r="G310" s="6"/>
      <c r="H310" s="3"/>
      <c r="I310" s="3"/>
      <c r="J310" s="3"/>
      <c r="K310" s="6"/>
    </row>
    <row r="311" spans="3:11" ht="12.75">
      <c r="C311" s="3"/>
      <c r="D311" s="3"/>
      <c r="E311" s="3"/>
      <c r="F311" s="3"/>
      <c r="G311" s="6"/>
      <c r="H311" s="3"/>
      <c r="I311" s="3"/>
      <c r="J311" s="3"/>
      <c r="K311" s="6"/>
    </row>
    <row r="312" spans="3:11" ht="12.75">
      <c r="C312" s="3"/>
      <c r="D312" s="3"/>
      <c r="E312" s="3"/>
      <c r="F312" s="3"/>
      <c r="G312" s="6"/>
      <c r="H312" s="3"/>
      <c r="I312" s="3"/>
      <c r="J312" s="3"/>
      <c r="K312" s="6"/>
    </row>
    <row r="313" spans="3:11" ht="12.75">
      <c r="C313" s="3"/>
      <c r="D313" s="3"/>
      <c r="E313" s="3"/>
      <c r="F313" s="3"/>
      <c r="G313" s="3"/>
      <c r="H313" s="3"/>
      <c r="I313" s="3"/>
      <c r="J313" s="3"/>
      <c r="K313" s="6"/>
    </row>
    <row r="314" spans="3:11" ht="12.75">
      <c r="C314" s="3"/>
      <c r="D314" s="3"/>
      <c r="E314" s="3"/>
      <c r="F314" s="3"/>
      <c r="G314" s="3"/>
      <c r="H314" s="3"/>
      <c r="I314" s="3"/>
      <c r="J314" s="3"/>
      <c r="K314" s="3"/>
    </row>
    <row r="315" spans="3:11" ht="12.75">
      <c r="C315" s="3"/>
      <c r="D315" s="3"/>
      <c r="E315" s="3"/>
      <c r="F315" s="3"/>
      <c r="G315" s="3"/>
      <c r="H315" s="3"/>
      <c r="I315" s="3"/>
      <c r="J315" s="3"/>
      <c r="K315" s="13"/>
    </row>
    <row r="316" spans="3:11" ht="12.75">
      <c r="C316" s="3"/>
      <c r="D316" s="3"/>
      <c r="E316" s="3"/>
      <c r="F316" s="3"/>
      <c r="G316" s="3"/>
      <c r="H316" s="3"/>
      <c r="I316" s="3"/>
      <c r="J316" s="3"/>
      <c r="K316" s="3"/>
    </row>
    <row r="317" spans="3:11" ht="12.75">
      <c r="C317" s="3"/>
      <c r="D317" s="3"/>
      <c r="E317" s="3"/>
      <c r="F317" s="3"/>
      <c r="G317" s="3"/>
      <c r="H317" s="3"/>
      <c r="I317" s="3"/>
      <c r="J317" s="3"/>
      <c r="K317" s="13"/>
    </row>
    <row r="318" spans="3:11" ht="12.75">
      <c r="C318" s="3"/>
      <c r="D318" s="3"/>
      <c r="E318" s="3"/>
      <c r="F318" s="3"/>
      <c r="G318" s="3"/>
      <c r="H318" s="3"/>
      <c r="I318" s="3"/>
      <c r="J318" s="3"/>
      <c r="K318" s="3"/>
    </row>
    <row r="319" spans="3:11" ht="15.75" customHeight="1">
      <c r="C319" s="3"/>
      <c r="D319" s="3"/>
      <c r="E319" s="3"/>
      <c r="F319" s="3"/>
      <c r="G319" s="6"/>
      <c r="H319" s="3"/>
      <c r="I319" s="3"/>
      <c r="J319" s="3"/>
      <c r="K319" s="3"/>
    </row>
    <row r="320" spans="3:11" ht="16.5" customHeight="1">
      <c r="C320" s="3"/>
      <c r="D320" s="3"/>
      <c r="E320" s="3"/>
      <c r="F320" s="3"/>
      <c r="G320" s="3"/>
      <c r="H320" s="3"/>
      <c r="I320" s="3"/>
      <c r="J320" s="3"/>
      <c r="K320" s="3"/>
    </row>
    <row r="321" spans="3:11" ht="16.5" customHeight="1">
      <c r="C321" s="3"/>
      <c r="D321" s="3"/>
      <c r="E321" s="3"/>
      <c r="F321" s="3"/>
      <c r="G321" s="3"/>
      <c r="H321" s="3"/>
      <c r="I321" s="3"/>
      <c r="J321" s="3"/>
      <c r="K321" s="3"/>
    </row>
    <row r="322" ht="18" customHeight="1">
      <c r="K322" s="3"/>
    </row>
    <row r="323" ht="12" customHeight="1">
      <c r="K323" s="3"/>
    </row>
    <row r="324" ht="18" customHeight="1">
      <c r="K324" s="3"/>
    </row>
    <row r="325" ht="18" customHeight="1">
      <c r="K325" s="3"/>
    </row>
    <row r="326" ht="12.75">
      <c r="K326" s="3"/>
    </row>
    <row r="327" ht="12.75">
      <c r="K327" s="3"/>
    </row>
    <row r="328" ht="18" customHeight="1">
      <c r="K328" s="3"/>
    </row>
    <row r="329" ht="12.75">
      <c r="K329" s="3"/>
    </row>
    <row r="330" ht="12.75">
      <c r="K330" s="3"/>
    </row>
    <row r="331" ht="12.75">
      <c r="K331" s="3"/>
    </row>
    <row r="332" ht="18" customHeight="1">
      <c r="K332" s="3"/>
    </row>
    <row r="333" ht="18" customHeight="1">
      <c r="K333" s="3"/>
    </row>
    <row r="334" ht="18" customHeight="1">
      <c r="K334" s="3"/>
    </row>
    <row r="335" ht="18" customHeight="1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1" ht="18" customHeight="1"/>
    <row r="342" ht="18" customHeight="1"/>
  </sheetData>
  <sheetProtection/>
  <mergeCells count="62">
    <mergeCell ref="B3:J3"/>
    <mergeCell ref="A6:A8"/>
    <mergeCell ref="B16:E16"/>
    <mergeCell ref="B22:E22"/>
    <mergeCell ref="B20:E20"/>
    <mergeCell ref="B13:E13"/>
    <mergeCell ref="B14:E14"/>
    <mergeCell ref="B17:E17"/>
    <mergeCell ref="B18:E18"/>
    <mergeCell ref="B19:E19"/>
    <mergeCell ref="H1:J1"/>
    <mergeCell ref="B2:J2"/>
    <mergeCell ref="B11:E11"/>
    <mergeCell ref="B12:E12"/>
    <mergeCell ref="H7:I7"/>
    <mergeCell ref="F8:G8"/>
    <mergeCell ref="B9:E9"/>
    <mergeCell ref="B7:E8"/>
    <mergeCell ref="B10:E10"/>
    <mergeCell ref="B6:E6"/>
    <mergeCell ref="B15:E15"/>
    <mergeCell ref="B41:E41"/>
    <mergeCell ref="B35:E35"/>
    <mergeCell ref="B33:E33"/>
    <mergeCell ref="B34:E34"/>
    <mergeCell ref="B37:E37"/>
    <mergeCell ref="B21:E21"/>
    <mergeCell ref="H76:J76"/>
    <mergeCell ref="B31:E31"/>
    <mergeCell ref="F76:G76"/>
    <mergeCell ref="B49:E49"/>
    <mergeCell ref="B29:E29"/>
    <mergeCell ref="B38:E38"/>
    <mergeCell ref="B36:E36"/>
    <mergeCell ref="B30:E30"/>
    <mergeCell ref="B39:E39"/>
    <mergeCell ref="B55:H55"/>
    <mergeCell ref="C54:H54"/>
    <mergeCell ref="B46:E46"/>
    <mergeCell ref="B44:E44"/>
    <mergeCell ref="B52:H52"/>
    <mergeCell ref="B43:E43"/>
    <mergeCell ref="B53:H53"/>
    <mergeCell ref="J56:M56"/>
    <mergeCell ref="A18:A19"/>
    <mergeCell ref="F18:F19"/>
    <mergeCell ref="G18:G19"/>
    <mergeCell ref="H18:H19"/>
    <mergeCell ref="I18:I19"/>
    <mergeCell ref="B27:E27"/>
    <mergeCell ref="B24:E24"/>
    <mergeCell ref="B28:E28"/>
    <mergeCell ref="B50:E50"/>
    <mergeCell ref="B42:E42"/>
    <mergeCell ref="B23:E23"/>
    <mergeCell ref="B40:E40"/>
    <mergeCell ref="B45:E45"/>
    <mergeCell ref="B48:E48"/>
    <mergeCell ref="B47:E47"/>
    <mergeCell ref="B26:E26"/>
    <mergeCell ref="B32:E32"/>
    <mergeCell ref="B25:E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5">
      <selection activeCell="F52" sqref="F52"/>
    </sheetView>
  </sheetViews>
  <sheetFormatPr defaultColWidth="9.140625" defaultRowHeight="12.75"/>
  <cols>
    <col min="1" max="1" width="4.8515625" style="212" customWidth="1"/>
    <col min="2" max="2" width="3.7109375" style="212" customWidth="1"/>
    <col min="3" max="5" width="9.140625" style="212" customWidth="1"/>
    <col min="6" max="6" width="14.28125" style="212" customWidth="1"/>
    <col min="7" max="16384" width="9.140625" style="212" customWidth="1"/>
  </cols>
  <sheetData>
    <row r="1" spans="9:10" ht="12.75">
      <c r="I1" s="1452"/>
      <c r="J1" s="1452"/>
    </row>
    <row r="2" spans="9:10" ht="12.75">
      <c r="I2" s="561"/>
      <c r="J2" s="561"/>
    </row>
    <row r="3" spans="9:10" ht="12.75">
      <c r="I3" s="561"/>
      <c r="J3" s="561"/>
    </row>
    <row r="5" spans="2:10" ht="12.75">
      <c r="B5" s="1453" t="s">
        <v>663</v>
      </c>
      <c r="C5" s="1453"/>
      <c r="D5" s="1453"/>
      <c r="E5" s="1453"/>
      <c r="F5" s="1453"/>
      <c r="G5" s="1453"/>
      <c r="H5" s="1453"/>
      <c r="I5" s="1453"/>
      <c r="J5" s="1453"/>
    </row>
    <row r="6" spans="2:10" ht="31.5" customHeight="1">
      <c r="B6" s="1454" t="s">
        <v>662</v>
      </c>
      <c r="C6" s="1454"/>
      <c r="D6" s="1454"/>
      <c r="E6" s="1454"/>
      <c r="F6" s="1454"/>
      <c r="G6" s="1454"/>
      <c r="H6" s="1454"/>
      <c r="I6" s="1454"/>
      <c r="J6" s="1454"/>
    </row>
    <row r="7" spans="2:10" ht="12.75">
      <c r="B7" s="560"/>
      <c r="C7" s="559"/>
      <c r="D7" s="559"/>
      <c r="E7" s="559"/>
      <c r="F7" s="559"/>
      <c r="G7" s="559"/>
      <c r="H7" s="559"/>
      <c r="I7" s="559"/>
      <c r="J7" s="559"/>
    </row>
    <row r="8" spans="3:10" ht="11.25" customHeight="1">
      <c r="C8" s="558"/>
      <c r="D8" s="558"/>
      <c r="E8" s="558"/>
      <c r="F8" s="558"/>
      <c r="G8" s="558"/>
      <c r="H8" s="558"/>
      <c r="I8" s="1455" t="s">
        <v>4</v>
      </c>
      <c r="J8" s="1455"/>
    </row>
    <row r="9" ht="12.75" hidden="1"/>
    <row r="10" spans="1:9" ht="12.75">
      <c r="A10" s="1481"/>
      <c r="B10" s="1484" t="s">
        <v>41</v>
      </c>
      <c r="C10" s="1485"/>
      <c r="D10" s="1485"/>
      <c r="E10" s="1486"/>
      <c r="F10" s="557" t="s">
        <v>27</v>
      </c>
      <c r="G10" s="557" t="s">
        <v>28</v>
      </c>
      <c r="H10" s="237" t="s">
        <v>29</v>
      </c>
      <c r="I10" s="237" t="s">
        <v>30</v>
      </c>
    </row>
    <row r="11" spans="1:9" ht="12.75" customHeight="1">
      <c r="A11" s="1482"/>
      <c r="B11" s="1456" t="s">
        <v>592</v>
      </c>
      <c r="C11" s="1456"/>
      <c r="D11" s="1456"/>
      <c r="E11" s="1457"/>
      <c r="F11" s="556" t="s">
        <v>263</v>
      </c>
      <c r="G11" s="556" t="s">
        <v>1</v>
      </c>
      <c r="H11" s="1463" t="s">
        <v>2</v>
      </c>
      <c r="I11" s="1464"/>
    </row>
    <row r="12" spans="1:9" ht="13.5" thickBot="1">
      <c r="A12" s="1483"/>
      <c r="B12" s="1458"/>
      <c r="C12" s="1458"/>
      <c r="D12" s="1458"/>
      <c r="E12" s="1459"/>
      <c r="F12" s="1465" t="s">
        <v>3</v>
      </c>
      <c r="G12" s="1465"/>
      <c r="H12" s="555" t="s">
        <v>5</v>
      </c>
      <c r="I12" s="554" t="s">
        <v>591</v>
      </c>
    </row>
    <row r="13" spans="1:9" s="215" customFormat="1" ht="13.5" thickBot="1">
      <c r="A13" s="553">
        <v>1</v>
      </c>
      <c r="B13" s="1466" t="s">
        <v>661</v>
      </c>
      <c r="C13" s="1466"/>
      <c r="D13" s="1466"/>
      <c r="E13" s="1466"/>
      <c r="F13" s="552">
        <f>F15+F16+F19+F23+F24+F25+F26+F27+F32+F35+F38+F41+F22</f>
        <v>13790</v>
      </c>
      <c r="G13" s="552">
        <f>G15+G16+G19+G23+G24+G25+G26+G27+G32+G35+G38+G41+G22</f>
        <v>36290</v>
      </c>
      <c r="H13" s="552">
        <f>H15+H16+H19+H23+H24+H25+H26+H27+H32+H35+H38+H41+H22+H28+H29</f>
        <v>17839</v>
      </c>
      <c r="I13" s="551"/>
    </row>
    <row r="14" spans="1:11" ht="13.5" thickBot="1">
      <c r="A14" s="525">
        <v>2</v>
      </c>
      <c r="B14" s="1451" t="s">
        <v>660</v>
      </c>
      <c r="C14" s="1451"/>
      <c r="D14" s="1451"/>
      <c r="E14" s="1451"/>
      <c r="F14" s="524"/>
      <c r="G14" s="524"/>
      <c r="H14" s="524"/>
      <c r="I14" s="518"/>
      <c r="K14" s="517"/>
    </row>
    <row r="15" spans="1:11" ht="12.75">
      <c r="A15" s="543">
        <v>3</v>
      </c>
      <c r="B15" s="1467" t="s">
        <v>659</v>
      </c>
      <c r="C15" s="1468"/>
      <c r="D15" s="1468"/>
      <c r="E15" s="1469"/>
      <c r="F15" s="542">
        <f>833+167</f>
        <v>1000</v>
      </c>
      <c r="G15" s="542">
        <f>833+167</f>
        <v>1000</v>
      </c>
      <c r="H15" s="542">
        <f>223+53</f>
        <v>276</v>
      </c>
      <c r="I15" s="541"/>
      <c r="K15" s="517"/>
    </row>
    <row r="16" spans="1:9" ht="12.75">
      <c r="A16" s="221">
        <v>4</v>
      </c>
      <c r="B16" s="1460" t="s">
        <v>658</v>
      </c>
      <c r="C16" s="1461"/>
      <c r="D16" s="1461"/>
      <c r="E16" s="1462"/>
      <c r="F16" s="545">
        <v>0</v>
      </c>
      <c r="G16" s="545">
        <v>0</v>
      </c>
      <c r="H16" s="545">
        <f>4713+1178+1</f>
        <v>5892</v>
      </c>
      <c r="I16" s="544"/>
    </row>
    <row r="17" spans="1:9" ht="13.5" thickBot="1">
      <c r="A17" s="532">
        <v>5</v>
      </c>
      <c r="B17" s="1477" t="s">
        <v>657</v>
      </c>
      <c r="C17" s="1478"/>
      <c r="D17" s="1478"/>
      <c r="E17" s="1479"/>
      <c r="F17" s="540">
        <f>SUM(F15:F16)</f>
        <v>1000</v>
      </c>
      <c r="G17" s="540">
        <f>SUM(G15:G16)</f>
        <v>1000</v>
      </c>
      <c r="H17" s="540">
        <f>SUM(H15:H16)</f>
        <v>6168</v>
      </c>
      <c r="I17" s="539">
        <f>H17/G17*100</f>
        <v>616.8000000000001</v>
      </c>
    </row>
    <row r="18" spans="1:9" ht="13.5" thickBot="1">
      <c r="A18" s="525">
        <v>7</v>
      </c>
      <c r="B18" s="1451" t="s">
        <v>656</v>
      </c>
      <c r="C18" s="1451"/>
      <c r="D18" s="1451"/>
      <c r="E18" s="1451"/>
      <c r="F18" s="524"/>
      <c r="G18" s="524"/>
      <c r="H18" s="524"/>
      <c r="I18" s="518"/>
    </row>
    <row r="19" spans="1:9" ht="12.75">
      <c r="A19" s="536">
        <v>8</v>
      </c>
      <c r="B19" s="1476" t="s">
        <v>655</v>
      </c>
      <c r="C19" s="1476"/>
      <c r="D19" s="1476"/>
      <c r="E19" s="1476"/>
      <c r="F19" s="542">
        <v>0</v>
      </c>
      <c r="G19" s="542">
        <f>2000+500</f>
        <v>2500</v>
      </c>
      <c r="H19" s="542">
        <f>2000+500</f>
        <v>2500</v>
      </c>
      <c r="I19" s="541"/>
    </row>
    <row r="20" spans="1:9" ht="13.5" thickBot="1">
      <c r="A20" s="532">
        <v>9</v>
      </c>
      <c r="B20" s="1448" t="s">
        <v>654</v>
      </c>
      <c r="C20" s="1449"/>
      <c r="D20" s="1449"/>
      <c r="E20" s="1450"/>
      <c r="F20" s="540">
        <f>SUM(F19)</f>
        <v>0</v>
      </c>
      <c r="G20" s="540">
        <f>SUM(G19)</f>
        <v>2500</v>
      </c>
      <c r="H20" s="540">
        <f>SUM(H19)</f>
        <v>2500</v>
      </c>
      <c r="I20" s="539">
        <f>H20/G20*100</f>
        <v>100</v>
      </c>
    </row>
    <row r="21" spans="1:9" ht="13.5" thickBot="1">
      <c r="A21" s="525">
        <v>11</v>
      </c>
      <c r="B21" s="1451" t="s">
        <v>653</v>
      </c>
      <c r="C21" s="1451"/>
      <c r="D21" s="1451"/>
      <c r="E21" s="1451"/>
      <c r="F21" s="524"/>
      <c r="G21" s="524"/>
      <c r="H21" s="524"/>
      <c r="I21" s="518"/>
    </row>
    <row r="22" spans="1:9" ht="12.75">
      <c r="A22" s="543">
        <v>12</v>
      </c>
      <c r="B22" s="1473" t="s">
        <v>652</v>
      </c>
      <c r="C22" s="1474"/>
      <c r="D22" s="1474"/>
      <c r="E22" s="1475"/>
      <c r="F22" s="550">
        <f>2580+520</f>
        <v>3100</v>
      </c>
      <c r="G22" s="550">
        <f>2580+520</f>
        <v>3100</v>
      </c>
      <c r="H22" s="550">
        <v>0</v>
      </c>
      <c r="I22" s="549"/>
    </row>
    <row r="23" spans="1:9" ht="12.75">
      <c r="A23" s="221">
        <v>13</v>
      </c>
      <c r="B23" s="1480" t="s">
        <v>651</v>
      </c>
      <c r="C23" s="1480"/>
      <c r="D23" s="1480"/>
      <c r="E23" s="1480"/>
      <c r="F23" s="545">
        <v>0</v>
      </c>
      <c r="G23" s="545">
        <f>16600+3400</f>
        <v>20000</v>
      </c>
      <c r="H23" s="545">
        <v>0</v>
      </c>
      <c r="I23" s="544"/>
    </row>
    <row r="24" spans="1:9" ht="12.75">
      <c r="A24" s="546">
        <v>14</v>
      </c>
      <c r="B24" s="1493" t="s">
        <v>650</v>
      </c>
      <c r="C24" s="1494"/>
      <c r="D24" s="1494"/>
      <c r="E24" s="1495"/>
      <c r="F24" s="545">
        <v>0</v>
      </c>
      <c r="G24" s="545">
        <v>0</v>
      </c>
      <c r="H24" s="545">
        <f>150+600</f>
        <v>750</v>
      </c>
      <c r="I24" s="544"/>
    </row>
    <row r="25" spans="1:9" ht="12.75">
      <c r="A25" s="221">
        <v>15</v>
      </c>
      <c r="B25" s="1470" t="s">
        <v>649</v>
      </c>
      <c r="C25" s="1471"/>
      <c r="D25" s="1471"/>
      <c r="E25" s="1472"/>
      <c r="F25" s="545">
        <v>0</v>
      </c>
      <c r="G25" s="545">
        <v>0</v>
      </c>
      <c r="H25" s="545">
        <f>700+175</f>
        <v>875</v>
      </c>
      <c r="I25" s="544"/>
    </row>
    <row r="26" spans="1:9" ht="12.75">
      <c r="A26" s="221">
        <v>16</v>
      </c>
      <c r="B26" s="1216" t="s">
        <v>648</v>
      </c>
      <c r="C26" s="1217"/>
      <c r="D26" s="1217"/>
      <c r="E26" s="1218"/>
      <c r="F26" s="548">
        <v>0</v>
      </c>
      <c r="G26" s="548">
        <v>0</v>
      </c>
      <c r="H26" s="548">
        <v>946</v>
      </c>
      <c r="I26" s="547"/>
    </row>
    <row r="27" spans="1:9" ht="12.75">
      <c r="A27" s="546">
        <v>17</v>
      </c>
      <c r="B27" s="1470" t="s">
        <v>647</v>
      </c>
      <c r="C27" s="1471"/>
      <c r="D27" s="1471"/>
      <c r="E27" s="1472"/>
      <c r="F27" s="545">
        <v>0</v>
      </c>
      <c r="G27" s="545">
        <v>0</v>
      </c>
      <c r="H27" s="545">
        <f>640+160</f>
        <v>800</v>
      </c>
      <c r="I27" s="544"/>
    </row>
    <row r="28" spans="1:9" ht="12.75">
      <c r="A28" s="221">
        <v>18</v>
      </c>
      <c r="B28" s="1470" t="s">
        <v>646</v>
      </c>
      <c r="C28" s="1471"/>
      <c r="D28" s="1471"/>
      <c r="E28" s="1472"/>
      <c r="F28" s="545">
        <v>0</v>
      </c>
      <c r="G28" s="545">
        <v>0</v>
      </c>
      <c r="H28" s="545">
        <v>125</v>
      </c>
      <c r="I28" s="544"/>
    </row>
    <row r="29" spans="1:9" ht="12.75">
      <c r="A29" s="221">
        <v>19</v>
      </c>
      <c r="B29" s="1470" t="s">
        <v>645</v>
      </c>
      <c r="C29" s="1471"/>
      <c r="D29" s="1471"/>
      <c r="E29" s="1472"/>
      <c r="F29" s="545">
        <v>0</v>
      </c>
      <c r="G29" s="545">
        <v>0</v>
      </c>
      <c r="H29" s="545">
        <v>53</v>
      </c>
      <c r="I29" s="544"/>
    </row>
    <row r="30" spans="1:9" ht="13.5" thickBot="1">
      <c r="A30" s="532">
        <v>20</v>
      </c>
      <c r="B30" s="531" t="s">
        <v>644</v>
      </c>
      <c r="C30" s="530"/>
      <c r="D30" s="530"/>
      <c r="E30" s="529"/>
      <c r="F30" s="540">
        <f>SUM(F22:F29)</f>
        <v>3100</v>
      </c>
      <c r="G30" s="540">
        <f>SUM(G22:G29)</f>
        <v>23100</v>
      </c>
      <c r="H30" s="540">
        <f>SUM(H22:H29)</f>
        <v>3549</v>
      </c>
      <c r="I30" s="539">
        <f>H30/G30*100</f>
        <v>15.363636363636363</v>
      </c>
    </row>
    <row r="31" spans="1:9" s="236" customFormat="1" ht="12" thickBot="1">
      <c r="A31" s="525">
        <v>22</v>
      </c>
      <c r="B31" s="1446" t="s">
        <v>643</v>
      </c>
      <c r="C31" s="1446"/>
      <c r="D31" s="1446"/>
      <c r="E31" s="1446"/>
      <c r="F31" s="524"/>
      <c r="G31" s="523"/>
      <c r="H31" s="523"/>
      <c r="I31" s="518"/>
    </row>
    <row r="32" spans="1:9" s="236" customFormat="1" ht="11.25">
      <c r="A32" s="536">
        <v>23</v>
      </c>
      <c r="B32" s="1447" t="s">
        <v>642</v>
      </c>
      <c r="C32" s="1447"/>
      <c r="D32" s="1447"/>
      <c r="E32" s="1447"/>
      <c r="F32" s="542">
        <f>2330+470</f>
        <v>2800</v>
      </c>
      <c r="G32" s="542">
        <f>2330+470</f>
        <v>2800</v>
      </c>
      <c r="H32" s="542">
        <f>2501+563+40</f>
        <v>3104</v>
      </c>
      <c r="I32" s="541"/>
    </row>
    <row r="33" spans="1:9" s="236" customFormat="1" ht="12" thickBot="1">
      <c r="A33" s="532">
        <v>24</v>
      </c>
      <c r="B33" s="1448" t="s">
        <v>551</v>
      </c>
      <c r="C33" s="1449"/>
      <c r="D33" s="1449"/>
      <c r="E33" s="1450"/>
      <c r="F33" s="540">
        <f>SUM(F32)</f>
        <v>2800</v>
      </c>
      <c r="G33" s="540">
        <f>SUM(G32)</f>
        <v>2800</v>
      </c>
      <c r="H33" s="540">
        <f>SUM(H32)</f>
        <v>3104</v>
      </c>
      <c r="I33" s="539">
        <f>H33/G33*100</f>
        <v>110.85714285714286</v>
      </c>
    </row>
    <row r="34" spans="1:9" ht="13.5" thickBot="1">
      <c r="A34" s="525">
        <v>26</v>
      </c>
      <c r="B34" s="1446" t="s">
        <v>641</v>
      </c>
      <c r="C34" s="1446"/>
      <c r="D34" s="1446"/>
      <c r="E34" s="1446"/>
      <c r="F34" s="538"/>
      <c r="G34" s="537"/>
      <c r="H34" s="537"/>
      <c r="I34" s="522"/>
    </row>
    <row r="35" spans="1:9" ht="12.75">
      <c r="A35" s="543">
        <v>27</v>
      </c>
      <c r="B35" s="1447" t="s">
        <v>640</v>
      </c>
      <c r="C35" s="1447"/>
      <c r="D35" s="1447"/>
      <c r="E35" s="1447"/>
      <c r="F35" s="542">
        <f>415+85</f>
        <v>500</v>
      </c>
      <c r="G35" s="542">
        <f>415+85</f>
        <v>500</v>
      </c>
      <c r="H35" s="542">
        <v>156</v>
      </c>
      <c r="I35" s="541"/>
    </row>
    <row r="36" spans="1:9" ht="13.5" thickBot="1">
      <c r="A36" s="532">
        <v>29</v>
      </c>
      <c r="B36" s="1448" t="s">
        <v>595</v>
      </c>
      <c r="C36" s="1449"/>
      <c r="D36" s="1449"/>
      <c r="E36" s="1450"/>
      <c r="F36" s="540">
        <f>SUM(F35:F35)</f>
        <v>500</v>
      </c>
      <c r="G36" s="540">
        <f>SUM(G35:G35)</f>
        <v>500</v>
      </c>
      <c r="H36" s="540">
        <f>SUM(H35:H35)</f>
        <v>156</v>
      </c>
      <c r="I36" s="539">
        <f>H36/G36*100</f>
        <v>31.2</v>
      </c>
    </row>
    <row r="37" spans="1:9" ht="13.5" thickBot="1">
      <c r="A37" s="525">
        <v>31</v>
      </c>
      <c r="B37" s="1446" t="s">
        <v>639</v>
      </c>
      <c r="C37" s="1446"/>
      <c r="D37" s="1446"/>
      <c r="E37" s="1446"/>
      <c r="F37" s="538"/>
      <c r="G37" s="537"/>
      <c r="H37" s="537"/>
      <c r="I37" s="522"/>
    </row>
    <row r="38" spans="1:9" ht="12.75">
      <c r="A38" s="536">
        <v>32</v>
      </c>
      <c r="B38" s="1473" t="s">
        <v>638</v>
      </c>
      <c r="C38" s="1474"/>
      <c r="D38" s="1474"/>
      <c r="E38" s="1475"/>
      <c r="F38" s="535">
        <f>1990+400</f>
        <v>2390</v>
      </c>
      <c r="G38" s="534">
        <f>1990+400</f>
        <v>2390</v>
      </c>
      <c r="H38" s="534">
        <f>1967+395</f>
        <v>2362</v>
      </c>
      <c r="I38" s="533"/>
    </row>
    <row r="39" spans="1:9" ht="13.5" thickBot="1">
      <c r="A39" s="532">
        <v>33</v>
      </c>
      <c r="B39" s="531" t="s">
        <v>576</v>
      </c>
      <c r="C39" s="530"/>
      <c r="D39" s="530"/>
      <c r="E39" s="529"/>
      <c r="F39" s="528">
        <f>SUM(F38)</f>
        <v>2390</v>
      </c>
      <c r="G39" s="527">
        <f>SUM(G38)</f>
        <v>2390</v>
      </c>
      <c r="H39" s="527">
        <f>SUM(H38)</f>
        <v>2362</v>
      </c>
      <c r="I39" s="526">
        <f>H39/G39*100</f>
        <v>98.82845188284519</v>
      </c>
    </row>
    <row r="40" spans="1:9" ht="13.5" thickBot="1">
      <c r="A40" s="525">
        <v>35</v>
      </c>
      <c r="B40" s="1487" t="s">
        <v>373</v>
      </c>
      <c r="C40" s="1488"/>
      <c r="D40" s="1488"/>
      <c r="E40" s="1489"/>
      <c r="F40" s="524"/>
      <c r="G40" s="523"/>
      <c r="H40" s="523"/>
      <c r="I40" s="522"/>
    </row>
    <row r="41" spans="1:9" ht="13.5" thickBot="1">
      <c r="A41" s="521">
        <v>36</v>
      </c>
      <c r="B41" s="1490" t="s">
        <v>637</v>
      </c>
      <c r="C41" s="1491"/>
      <c r="D41" s="1491"/>
      <c r="E41" s="1492"/>
      <c r="F41" s="520">
        <f>3330+670</f>
        <v>4000</v>
      </c>
      <c r="G41" s="520">
        <f>3330+670</f>
        <v>4000</v>
      </c>
      <c r="H41" s="519">
        <v>0</v>
      </c>
      <c r="I41" s="518">
        <f>H41/G41*100</f>
        <v>0</v>
      </c>
    </row>
    <row r="46" ht="12.75">
      <c r="M46" s="517"/>
    </row>
    <row r="54" ht="12.75">
      <c r="E54" s="516"/>
    </row>
    <row r="69" ht="12.75">
      <c r="K69" s="213">
        <v>49</v>
      </c>
    </row>
  </sheetData>
  <sheetProtection/>
  <mergeCells count="36">
    <mergeCell ref="A10:A12"/>
    <mergeCell ref="B10:E10"/>
    <mergeCell ref="B38:E38"/>
    <mergeCell ref="B40:E40"/>
    <mergeCell ref="B41:E41"/>
    <mergeCell ref="B24:E24"/>
    <mergeCell ref="B26:E26"/>
    <mergeCell ref="B32:E32"/>
    <mergeCell ref="B25:E25"/>
    <mergeCell ref="B27:E27"/>
    <mergeCell ref="B15:E15"/>
    <mergeCell ref="B31:E31"/>
    <mergeCell ref="B28:E28"/>
    <mergeCell ref="B22:E22"/>
    <mergeCell ref="B19:E19"/>
    <mergeCell ref="B18:E18"/>
    <mergeCell ref="B17:E17"/>
    <mergeCell ref="B20:E20"/>
    <mergeCell ref="B29:E29"/>
    <mergeCell ref="B23:E23"/>
    <mergeCell ref="I1:J1"/>
    <mergeCell ref="B5:J5"/>
    <mergeCell ref="B6:J6"/>
    <mergeCell ref="I8:J8"/>
    <mergeCell ref="B11:E12"/>
    <mergeCell ref="B16:E16"/>
    <mergeCell ref="H11:I11"/>
    <mergeCell ref="F12:G12"/>
    <mergeCell ref="B13:E13"/>
    <mergeCell ref="B14:E14"/>
    <mergeCell ref="B37:E37"/>
    <mergeCell ref="B34:E34"/>
    <mergeCell ref="B35:E35"/>
    <mergeCell ref="B36:E36"/>
    <mergeCell ref="B33:E33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25">
      <selection activeCell="I106" sqref="I106"/>
    </sheetView>
  </sheetViews>
  <sheetFormatPr defaultColWidth="9.140625" defaultRowHeight="12.75"/>
  <cols>
    <col min="1" max="1" width="3.8515625" style="0" customWidth="1"/>
    <col min="2" max="2" width="4.7109375" style="0" customWidth="1"/>
    <col min="4" max="4" width="11.57421875" style="0" customWidth="1"/>
    <col min="5" max="6" width="9.00390625" style="0" customWidth="1"/>
    <col min="7" max="7" width="14.28125" style="0" customWidth="1"/>
    <col min="8" max="8" width="15.57421875" style="562" customWidth="1"/>
    <col min="9" max="10" width="10.7109375" style="0" customWidth="1"/>
  </cols>
  <sheetData>
    <row r="1" spans="2:10" ht="15" customHeight="1">
      <c r="B1" s="583"/>
      <c r="C1" s="583"/>
      <c r="D1" s="583"/>
      <c r="E1" s="583"/>
      <c r="F1" s="1519"/>
      <c r="G1" s="1519"/>
      <c r="H1" s="1519"/>
      <c r="I1" s="614"/>
      <c r="J1" s="9"/>
    </row>
    <row r="2" spans="2:10" ht="15">
      <c r="B2" s="583"/>
      <c r="C2" s="583"/>
      <c r="D2" s="583"/>
      <c r="E2" s="583"/>
      <c r="F2" s="583"/>
      <c r="G2" s="583"/>
      <c r="H2" s="613" t="s">
        <v>227</v>
      </c>
      <c r="I2" s="580"/>
      <c r="J2" s="99"/>
    </row>
    <row r="3" spans="2:10" ht="15.75">
      <c r="B3" s="1502" t="s">
        <v>719</v>
      </c>
      <c r="C3" s="1502"/>
      <c r="D3" s="1502"/>
      <c r="E3" s="1502"/>
      <c r="F3" s="1502"/>
      <c r="G3" s="1502"/>
      <c r="H3" s="1502"/>
      <c r="I3" s="612"/>
      <c r="J3" s="2"/>
    </row>
    <row r="4" spans="2:10" ht="16.5" customHeight="1">
      <c r="B4" s="1503" t="s">
        <v>781</v>
      </c>
      <c r="C4" s="1504"/>
      <c r="D4" s="1504"/>
      <c r="E4" s="1504"/>
      <c r="F4" s="1504"/>
      <c r="G4" s="1504"/>
      <c r="H4" s="1504"/>
      <c r="I4" s="612"/>
      <c r="J4" s="2"/>
    </row>
    <row r="5" spans="2:10" ht="12.75" customHeight="1">
      <c r="B5" s="610"/>
      <c r="C5" s="610"/>
      <c r="D5" s="610"/>
      <c r="E5" s="610"/>
      <c r="F5" s="610"/>
      <c r="G5" s="610"/>
      <c r="H5" s="610"/>
      <c r="I5" s="611"/>
      <c r="J5" s="42"/>
    </row>
    <row r="6" spans="2:10" ht="15">
      <c r="B6" s="1515" t="s">
        <v>738</v>
      </c>
      <c r="C6" s="1515"/>
      <c r="D6" s="1515"/>
      <c r="E6" s="610"/>
      <c r="F6" s="610"/>
      <c r="G6" s="1496" t="s">
        <v>4</v>
      </c>
      <c r="H6" s="1496"/>
      <c r="I6" s="577"/>
      <c r="J6" s="576"/>
    </row>
    <row r="7" spans="1:10" ht="16.5" customHeight="1">
      <c r="A7" s="1174"/>
      <c r="B7" s="609" t="s">
        <v>41</v>
      </c>
      <c r="C7" s="1516" t="s">
        <v>27</v>
      </c>
      <c r="D7" s="1517"/>
      <c r="E7" s="1517"/>
      <c r="F7" s="1518"/>
      <c r="G7" s="208" t="s">
        <v>28</v>
      </c>
      <c r="H7" s="208" t="s">
        <v>29</v>
      </c>
      <c r="I7" s="573"/>
      <c r="J7" s="476"/>
    </row>
    <row r="8" spans="1:10" ht="16.5" customHeight="1">
      <c r="A8" s="1175"/>
      <c r="B8" s="1497" t="s">
        <v>471</v>
      </c>
      <c r="C8" s="1499" t="s">
        <v>7</v>
      </c>
      <c r="D8" s="1499"/>
      <c r="E8" s="1499"/>
      <c r="F8" s="1499"/>
      <c r="G8" s="599" t="s">
        <v>716</v>
      </c>
      <c r="H8" s="598" t="s">
        <v>715</v>
      </c>
      <c r="I8" s="572"/>
      <c r="J8" s="477"/>
    </row>
    <row r="9" spans="1:10" ht="15">
      <c r="A9" s="1176"/>
      <c r="B9" s="1498"/>
      <c r="C9" s="1500"/>
      <c r="D9" s="1500"/>
      <c r="E9" s="1500"/>
      <c r="F9" s="1500"/>
      <c r="G9" s="596">
        <v>37987</v>
      </c>
      <c r="H9" s="595">
        <v>38352</v>
      </c>
      <c r="I9" s="564"/>
      <c r="J9" s="474"/>
    </row>
    <row r="10" spans="1:10" ht="15">
      <c r="A10" s="110">
        <v>1</v>
      </c>
      <c r="B10" s="569" t="s">
        <v>390</v>
      </c>
      <c r="C10" s="1501" t="s">
        <v>780</v>
      </c>
      <c r="D10" s="1501"/>
      <c r="E10" s="1501"/>
      <c r="F10" s="1501"/>
      <c r="G10" s="119">
        <v>0</v>
      </c>
      <c r="H10" s="172">
        <v>0</v>
      </c>
      <c r="I10" s="564"/>
      <c r="J10" s="474"/>
    </row>
    <row r="11" spans="1:10" ht="15">
      <c r="A11" s="110">
        <v>2</v>
      </c>
      <c r="B11" s="569" t="s">
        <v>429</v>
      </c>
      <c r="C11" s="1501" t="s">
        <v>779</v>
      </c>
      <c r="D11" s="1501"/>
      <c r="E11" s="1501"/>
      <c r="F11" s="1501"/>
      <c r="G11" s="119">
        <v>0</v>
      </c>
      <c r="H11" s="172">
        <v>0</v>
      </c>
      <c r="I11" s="564"/>
      <c r="J11" s="474"/>
    </row>
    <row r="12" spans="1:10" ht="15">
      <c r="A12" s="110">
        <v>3</v>
      </c>
      <c r="B12" s="569" t="s">
        <v>428</v>
      </c>
      <c r="C12" s="1501" t="s">
        <v>778</v>
      </c>
      <c r="D12" s="1501"/>
      <c r="E12" s="1501"/>
      <c r="F12" s="1501"/>
      <c r="G12" s="119">
        <v>344</v>
      </c>
      <c r="H12" s="172">
        <v>237</v>
      </c>
      <c r="I12" s="564"/>
      <c r="J12" s="474"/>
    </row>
    <row r="13" spans="1:10" ht="15">
      <c r="A13" s="110">
        <v>4</v>
      </c>
      <c r="B13" s="569" t="s">
        <v>427</v>
      </c>
      <c r="C13" s="1501" t="s">
        <v>777</v>
      </c>
      <c r="D13" s="1501"/>
      <c r="E13" s="1501"/>
      <c r="F13" s="1501"/>
      <c r="G13" s="119">
        <v>2505</v>
      </c>
      <c r="H13" s="172">
        <v>4735</v>
      </c>
      <c r="I13" s="564"/>
      <c r="J13" s="474"/>
    </row>
    <row r="14" spans="1:10" ht="15">
      <c r="A14" s="110">
        <v>5</v>
      </c>
      <c r="B14" s="569" t="s">
        <v>426</v>
      </c>
      <c r="C14" s="1501" t="s">
        <v>776</v>
      </c>
      <c r="D14" s="1501"/>
      <c r="E14" s="1501"/>
      <c r="F14" s="1501"/>
      <c r="G14" s="119">
        <v>0</v>
      </c>
      <c r="H14" s="172">
        <v>0</v>
      </c>
      <c r="I14" s="564"/>
      <c r="J14" s="474"/>
    </row>
    <row r="15" spans="1:10" s="26" customFormat="1" ht="15.75">
      <c r="A15" s="110">
        <v>6</v>
      </c>
      <c r="B15" s="569" t="s">
        <v>425</v>
      </c>
      <c r="C15" s="1501" t="s">
        <v>775</v>
      </c>
      <c r="D15" s="1501"/>
      <c r="E15" s="1501"/>
      <c r="F15" s="1501"/>
      <c r="G15" s="119">
        <v>0</v>
      </c>
      <c r="H15" s="172">
        <v>0</v>
      </c>
      <c r="I15" s="568"/>
      <c r="J15" s="156"/>
    </row>
    <row r="16" spans="1:10" ht="15">
      <c r="A16" s="110">
        <v>7</v>
      </c>
      <c r="B16" s="270" t="s">
        <v>688</v>
      </c>
      <c r="C16" s="1506" t="s">
        <v>774</v>
      </c>
      <c r="D16" s="1506"/>
      <c r="E16" s="1506"/>
      <c r="F16" s="1506"/>
      <c r="G16" s="121">
        <f>SUM(G12:G15)</f>
        <v>2849</v>
      </c>
      <c r="H16" s="567">
        <f>SUM(H12:H15)</f>
        <v>4972</v>
      </c>
      <c r="I16" s="564"/>
      <c r="J16" s="474"/>
    </row>
    <row r="17" spans="1:10" ht="15">
      <c r="A17" s="110">
        <v>8</v>
      </c>
      <c r="B17" s="569" t="s">
        <v>424</v>
      </c>
      <c r="C17" s="1501" t="s">
        <v>773</v>
      </c>
      <c r="D17" s="1501"/>
      <c r="E17" s="1501"/>
      <c r="F17" s="1501"/>
      <c r="G17" s="119">
        <v>1399751</v>
      </c>
      <c r="H17" s="172">
        <v>1379488</v>
      </c>
      <c r="I17" s="564"/>
      <c r="J17" s="474"/>
    </row>
    <row r="18" spans="1:10" ht="15">
      <c r="A18" s="110">
        <v>9</v>
      </c>
      <c r="B18" s="569" t="s">
        <v>423</v>
      </c>
      <c r="C18" s="1501" t="s">
        <v>772</v>
      </c>
      <c r="D18" s="1501"/>
      <c r="E18" s="1501"/>
      <c r="F18" s="1501"/>
      <c r="G18" s="119">
        <v>9523</v>
      </c>
      <c r="H18" s="172">
        <v>13194</v>
      </c>
      <c r="I18" s="564"/>
      <c r="J18" s="474"/>
    </row>
    <row r="19" spans="1:10" ht="15">
      <c r="A19" s="110">
        <v>10</v>
      </c>
      <c r="B19" s="569" t="s">
        <v>422</v>
      </c>
      <c r="C19" s="1501" t="s">
        <v>771</v>
      </c>
      <c r="D19" s="1501"/>
      <c r="E19" s="1501"/>
      <c r="F19" s="1501"/>
      <c r="G19" s="119">
        <v>0</v>
      </c>
      <c r="H19" s="172">
        <v>0</v>
      </c>
      <c r="I19" s="564"/>
      <c r="J19" s="474"/>
    </row>
    <row r="20" spans="1:10" ht="15">
      <c r="A20" s="110">
        <v>11</v>
      </c>
      <c r="B20" s="569" t="s">
        <v>421</v>
      </c>
      <c r="C20" s="1501" t="s">
        <v>770</v>
      </c>
      <c r="D20" s="1501"/>
      <c r="E20" s="1501"/>
      <c r="F20" s="1501"/>
      <c r="G20" s="119">
        <v>0</v>
      </c>
      <c r="H20" s="172">
        <v>0</v>
      </c>
      <c r="I20" s="564"/>
      <c r="J20" s="474"/>
    </row>
    <row r="21" spans="1:10" ht="15">
      <c r="A21" s="110">
        <v>12</v>
      </c>
      <c r="B21" s="569" t="s">
        <v>420</v>
      </c>
      <c r="C21" s="1507" t="s">
        <v>769</v>
      </c>
      <c r="D21" s="1501"/>
      <c r="E21" s="1501"/>
      <c r="F21" s="1501"/>
      <c r="G21" s="119">
        <v>9884</v>
      </c>
      <c r="H21" s="172">
        <v>24080</v>
      </c>
      <c r="I21" s="564"/>
      <c r="J21" s="474"/>
    </row>
    <row r="22" spans="1:10" ht="15">
      <c r="A22" s="110">
        <v>13</v>
      </c>
      <c r="B22" s="569" t="s">
        <v>419</v>
      </c>
      <c r="C22" s="1501" t="s">
        <v>768</v>
      </c>
      <c r="D22" s="1501"/>
      <c r="E22" s="1501"/>
      <c r="F22" s="1501"/>
      <c r="G22" s="119">
        <v>0</v>
      </c>
      <c r="H22" s="172">
        <v>0</v>
      </c>
      <c r="I22" s="564"/>
      <c r="J22" s="474"/>
    </row>
    <row r="23" spans="1:10" s="26" customFormat="1" ht="15.75">
      <c r="A23" s="110">
        <v>14</v>
      </c>
      <c r="B23" s="569" t="s">
        <v>418</v>
      </c>
      <c r="C23" s="1501" t="s">
        <v>767</v>
      </c>
      <c r="D23" s="1501"/>
      <c r="E23" s="1501"/>
      <c r="F23" s="1501"/>
      <c r="G23" s="119">
        <v>0</v>
      </c>
      <c r="H23" s="172">
        <v>0</v>
      </c>
      <c r="I23" s="568"/>
      <c r="J23" s="156"/>
    </row>
    <row r="24" spans="1:10" ht="15">
      <c r="A24" s="110">
        <v>15</v>
      </c>
      <c r="B24" s="270" t="s">
        <v>676</v>
      </c>
      <c r="C24" s="1506" t="s">
        <v>766</v>
      </c>
      <c r="D24" s="1506"/>
      <c r="E24" s="1506"/>
      <c r="F24" s="1506"/>
      <c r="G24" s="121">
        <f>SUM(G17:G23)</f>
        <v>1419158</v>
      </c>
      <c r="H24" s="567">
        <f>SUM(H17:H23)</f>
        <v>1416762</v>
      </c>
      <c r="I24" s="564"/>
      <c r="J24" s="474"/>
    </row>
    <row r="25" spans="1:10" ht="15">
      <c r="A25" s="110">
        <v>16</v>
      </c>
      <c r="B25" s="569" t="s">
        <v>389</v>
      </c>
      <c r="C25" s="1501" t="s">
        <v>765</v>
      </c>
      <c r="D25" s="1501"/>
      <c r="E25" s="1501"/>
      <c r="F25" s="1501"/>
      <c r="G25" s="119">
        <v>15305</v>
      </c>
      <c r="H25" s="172">
        <v>15305</v>
      </c>
      <c r="I25" s="564"/>
      <c r="J25" s="474"/>
    </row>
    <row r="26" spans="1:10" ht="15">
      <c r="A26" s="110">
        <v>17</v>
      </c>
      <c r="B26" s="569" t="s">
        <v>388</v>
      </c>
      <c r="C26" s="1501" t="s">
        <v>764</v>
      </c>
      <c r="D26" s="1501"/>
      <c r="E26" s="1501"/>
      <c r="F26" s="1501"/>
      <c r="G26" s="119">
        <v>500000</v>
      </c>
      <c r="H26" s="172">
        <v>500000</v>
      </c>
      <c r="I26" s="564"/>
      <c r="J26" s="474"/>
    </row>
    <row r="27" spans="1:10" ht="15">
      <c r="A27" s="110">
        <v>18</v>
      </c>
      <c r="B27" s="569" t="s">
        <v>387</v>
      </c>
      <c r="C27" s="1501" t="s">
        <v>763</v>
      </c>
      <c r="D27" s="1501"/>
      <c r="E27" s="1501"/>
      <c r="F27" s="1501"/>
      <c r="G27" s="119">
        <v>3076</v>
      </c>
      <c r="H27" s="172">
        <v>3859</v>
      </c>
      <c r="I27" s="564"/>
      <c r="J27" s="474"/>
    </row>
    <row r="28" spans="1:10" ht="15">
      <c r="A28" s="110">
        <v>19</v>
      </c>
      <c r="B28" s="569" t="s">
        <v>530</v>
      </c>
      <c r="C28" s="1501" t="s">
        <v>762</v>
      </c>
      <c r="D28" s="1501"/>
      <c r="E28" s="1501"/>
      <c r="F28" s="1501"/>
      <c r="G28" s="119">
        <v>0</v>
      </c>
      <c r="H28" s="172">
        <v>0</v>
      </c>
      <c r="I28" s="564"/>
      <c r="J28" s="474"/>
    </row>
    <row r="29" spans="1:10" ht="15">
      <c r="A29" s="110">
        <v>20</v>
      </c>
      <c r="B29" s="569" t="s">
        <v>386</v>
      </c>
      <c r="C29" s="1501" t="s">
        <v>761</v>
      </c>
      <c r="D29" s="1501"/>
      <c r="E29" s="1501"/>
      <c r="F29" s="1501"/>
      <c r="G29" s="119">
        <v>0</v>
      </c>
      <c r="H29" s="172">
        <v>0</v>
      </c>
      <c r="I29" s="564"/>
      <c r="J29" s="474"/>
    </row>
    <row r="30" spans="1:10" s="26" customFormat="1" ht="15.75">
      <c r="A30" s="110">
        <v>21</v>
      </c>
      <c r="B30" s="569" t="s">
        <v>385</v>
      </c>
      <c r="C30" s="1501" t="s">
        <v>760</v>
      </c>
      <c r="D30" s="1501"/>
      <c r="E30" s="1501"/>
      <c r="F30" s="1501"/>
      <c r="G30" s="119">
        <v>0</v>
      </c>
      <c r="H30" s="172">
        <v>0</v>
      </c>
      <c r="I30" s="568"/>
      <c r="J30" s="156"/>
    </row>
    <row r="31" spans="1:10" ht="15">
      <c r="A31" s="110">
        <v>22</v>
      </c>
      <c r="B31" s="270" t="s">
        <v>668</v>
      </c>
      <c r="C31" s="1506" t="s">
        <v>759</v>
      </c>
      <c r="D31" s="1506"/>
      <c r="E31" s="1506"/>
      <c r="F31" s="1506"/>
      <c r="G31" s="121">
        <f>SUM(G25:G30)</f>
        <v>518381</v>
      </c>
      <c r="H31" s="567">
        <f>SUM(H25:H30)</f>
        <v>519164</v>
      </c>
      <c r="I31" s="564"/>
      <c r="J31" s="474"/>
    </row>
    <row r="32" spans="1:10" s="26" customFormat="1" ht="15.75">
      <c r="A32" s="110">
        <v>23</v>
      </c>
      <c r="B32" s="608"/>
      <c r="C32" s="1505" t="s">
        <v>758</v>
      </c>
      <c r="D32" s="1505"/>
      <c r="E32" s="1505"/>
      <c r="F32" s="1505"/>
      <c r="G32" s="119"/>
      <c r="H32" s="172"/>
      <c r="I32" s="568"/>
      <c r="J32" s="240"/>
    </row>
    <row r="33" spans="1:10" ht="15">
      <c r="A33" s="110">
        <v>24</v>
      </c>
      <c r="B33" s="270" t="s">
        <v>730</v>
      </c>
      <c r="C33" s="1506" t="s">
        <v>757</v>
      </c>
      <c r="D33" s="1506"/>
      <c r="E33" s="1506"/>
      <c r="F33" s="1506"/>
      <c r="G33" s="121">
        <v>442042</v>
      </c>
      <c r="H33" s="567">
        <v>430551</v>
      </c>
      <c r="I33" s="564"/>
      <c r="J33" s="6"/>
    </row>
    <row r="34" spans="1:10" s="26" customFormat="1" ht="15.75">
      <c r="A34" s="110">
        <v>25</v>
      </c>
      <c r="B34" s="607" t="s">
        <v>756</v>
      </c>
      <c r="C34" s="1505" t="s">
        <v>755</v>
      </c>
      <c r="D34" s="1505"/>
      <c r="E34" s="1505"/>
      <c r="F34" s="1505"/>
      <c r="G34" s="119"/>
      <c r="H34" s="172"/>
      <c r="I34" s="568"/>
      <c r="J34" s="240"/>
    </row>
    <row r="35" spans="1:10" ht="15">
      <c r="A35" s="110">
        <v>26</v>
      </c>
      <c r="B35" s="270" t="s">
        <v>754</v>
      </c>
      <c r="C35" s="1506" t="s">
        <v>753</v>
      </c>
      <c r="D35" s="1506"/>
      <c r="E35" s="1506"/>
      <c r="F35" s="1506"/>
      <c r="G35" s="121">
        <f>G33+G31+G24+G16</f>
        <v>2382430</v>
      </c>
      <c r="H35" s="567">
        <f>H33+H31+H24+H16</f>
        <v>2371449</v>
      </c>
      <c r="I35" s="564"/>
      <c r="J35" s="6"/>
    </row>
    <row r="36" spans="1:10" ht="15">
      <c r="A36" s="110">
        <v>27</v>
      </c>
      <c r="B36" s="569" t="s">
        <v>384</v>
      </c>
      <c r="C36" s="1501" t="s">
        <v>752</v>
      </c>
      <c r="D36" s="1501"/>
      <c r="E36" s="1501"/>
      <c r="F36" s="1501"/>
      <c r="G36" s="119">
        <v>0</v>
      </c>
      <c r="H36" s="172">
        <v>0</v>
      </c>
      <c r="I36" s="564"/>
      <c r="J36" s="6"/>
    </row>
    <row r="37" spans="1:10" ht="15">
      <c r="A37" s="110">
        <v>28</v>
      </c>
      <c r="B37" s="569" t="s">
        <v>383</v>
      </c>
      <c r="C37" s="1501" t="s">
        <v>751</v>
      </c>
      <c r="D37" s="1501"/>
      <c r="E37" s="1501"/>
      <c r="F37" s="1501"/>
      <c r="G37" s="119">
        <v>0</v>
      </c>
      <c r="H37" s="172">
        <v>0</v>
      </c>
      <c r="I37" s="564"/>
      <c r="J37" s="6"/>
    </row>
    <row r="38" spans="1:10" ht="15">
      <c r="A38" s="110">
        <v>29</v>
      </c>
      <c r="B38" s="569" t="s">
        <v>382</v>
      </c>
      <c r="C38" s="1501" t="s">
        <v>750</v>
      </c>
      <c r="D38" s="1501"/>
      <c r="E38" s="1501"/>
      <c r="F38" s="1501"/>
      <c r="G38" s="119">
        <v>0</v>
      </c>
      <c r="H38" s="172">
        <v>0</v>
      </c>
      <c r="I38" s="564"/>
      <c r="J38" s="6"/>
    </row>
    <row r="39" spans="1:10" ht="15">
      <c r="A39" s="110">
        <v>30</v>
      </c>
      <c r="B39" s="569" t="s">
        <v>381</v>
      </c>
      <c r="C39" s="1501" t="s">
        <v>749</v>
      </c>
      <c r="D39" s="1501"/>
      <c r="E39" s="1501"/>
      <c r="F39" s="1501"/>
      <c r="G39" s="119">
        <v>0</v>
      </c>
      <c r="H39" s="172">
        <v>0</v>
      </c>
      <c r="I39" s="564"/>
      <c r="J39" s="6"/>
    </row>
    <row r="40" spans="1:10" ht="15">
      <c r="A40" s="110">
        <v>31</v>
      </c>
      <c r="B40" s="569" t="s">
        <v>748</v>
      </c>
      <c r="C40" s="1501" t="s">
        <v>747</v>
      </c>
      <c r="D40" s="1501"/>
      <c r="E40" s="1501"/>
      <c r="F40" s="1501"/>
      <c r="G40" s="119">
        <v>0</v>
      </c>
      <c r="H40" s="172">
        <v>0</v>
      </c>
      <c r="I40" s="564"/>
      <c r="J40" s="6"/>
    </row>
    <row r="41" spans="1:10" ht="15">
      <c r="A41" s="110">
        <v>32</v>
      </c>
      <c r="B41" s="569" t="s">
        <v>746</v>
      </c>
      <c r="C41" s="1501" t="s">
        <v>745</v>
      </c>
      <c r="D41" s="1501"/>
      <c r="E41" s="1501"/>
      <c r="F41" s="1501"/>
      <c r="G41" s="119">
        <v>0</v>
      </c>
      <c r="H41" s="172">
        <v>0</v>
      </c>
      <c r="I41" s="564"/>
      <c r="J41" s="6"/>
    </row>
    <row r="42" spans="1:10" ht="15">
      <c r="A42" s="110">
        <v>33</v>
      </c>
      <c r="B42" s="570" t="s">
        <v>688</v>
      </c>
      <c r="C42" s="1505" t="s">
        <v>744</v>
      </c>
      <c r="D42" s="1505"/>
      <c r="E42" s="1505"/>
      <c r="F42" s="1505"/>
      <c r="G42" s="119">
        <v>0</v>
      </c>
      <c r="H42" s="172">
        <v>0</v>
      </c>
      <c r="I42" s="564"/>
      <c r="J42" s="6"/>
    </row>
    <row r="43" spans="1:10" ht="15">
      <c r="A43" s="110">
        <v>34</v>
      </c>
      <c r="B43" s="569" t="s">
        <v>379</v>
      </c>
      <c r="C43" s="1507" t="s">
        <v>743</v>
      </c>
      <c r="D43" s="1501"/>
      <c r="E43" s="1501"/>
      <c r="F43" s="1501"/>
      <c r="G43" s="119">
        <v>4414</v>
      </c>
      <c r="H43" s="172">
        <v>4772</v>
      </c>
      <c r="I43" s="564"/>
      <c r="J43" s="6"/>
    </row>
    <row r="44" spans="1:10" ht="15">
      <c r="A44" s="110">
        <v>35</v>
      </c>
      <c r="B44" s="569" t="s">
        <v>348</v>
      </c>
      <c r="C44" s="1501" t="s">
        <v>742</v>
      </c>
      <c r="D44" s="1501"/>
      <c r="E44" s="1501"/>
      <c r="F44" s="1501"/>
      <c r="G44" s="119">
        <v>9897</v>
      </c>
      <c r="H44" s="172">
        <v>20739</v>
      </c>
      <c r="I44" s="564"/>
      <c r="J44" s="6"/>
    </row>
    <row r="45" spans="1:10" ht="15">
      <c r="A45" s="110">
        <v>36</v>
      </c>
      <c r="B45" s="569" t="s">
        <v>347</v>
      </c>
      <c r="C45" s="1501" t="s">
        <v>686</v>
      </c>
      <c r="D45" s="1501"/>
      <c r="E45" s="1501"/>
      <c r="F45" s="1501"/>
      <c r="G45" s="119">
        <v>0</v>
      </c>
      <c r="H45" s="172">
        <v>0</v>
      </c>
      <c r="I45" s="564"/>
      <c r="J45" s="6"/>
    </row>
    <row r="46" spans="1:10" ht="15">
      <c r="A46" s="110">
        <v>37</v>
      </c>
      <c r="B46" s="569" t="s">
        <v>346</v>
      </c>
      <c r="C46" s="1501" t="s">
        <v>741</v>
      </c>
      <c r="D46" s="1501"/>
      <c r="E46" s="1501"/>
      <c r="F46" s="1501"/>
      <c r="G46" s="119">
        <v>1996</v>
      </c>
      <c r="H46" s="172">
        <v>2035</v>
      </c>
      <c r="I46" s="564"/>
      <c r="J46" s="6"/>
    </row>
    <row r="47" spans="1:10" s="26" customFormat="1" ht="15.75">
      <c r="A47" s="110">
        <v>38</v>
      </c>
      <c r="B47" s="571">
        <v>28.1</v>
      </c>
      <c r="C47" s="1507" t="s">
        <v>740</v>
      </c>
      <c r="D47" s="1501"/>
      <c r="E47" s="1501"/>
      <c r="F47" s="1501"/>
      <c r="G47" s="119"/>
      <c r="H47" s="172"/>
      <c r="I47" s="568"/>
      <c r="J47" s="240"/>
    </row>
    <row r="48" spans="1:10" ht="15.75" thickBot="1">
      <c r="A48" s="110">
        <v>39</v>
      </c>
      <c r="B48" s="592" t="s">
        <v>676</v>
      </c>
      <c r="C48" s="1508" t="s">
        <v>739</v>
      </c>
      <c r="D48" s="1508"/>
      <c r="E48" s="1508"/>
      <c r="F48" s="1508"/>
      <c r="G48" s="114">
        <f>SUM(G43:G47)</f>
        <v>16307</v>
      </c>
      <c r="H48" s="565">
        <f>SUM(H43:H47)</f>
        <v>27546</v>
      </c>
      <c r="I48" s="564"/>
      <c r="J48" s="6"/>
    </row>
    <row r="49" spans="2:10" ht="15">
      <c r="B49" s="604"/>
      <c r="C49" s="600"/>
      <c r="D49" s="600"/>
      <c r="E49" s="600"/>
      <c r="F49" s="600"/>
      <c r="G49" s="606"/>
      <c r="H49" s="606"/>
      <c r="I49" s="564"/>
      <c r="J49" s="6"/>
    </row>
    <row r="50" spans="2:10" ht="15">
      <c r="B50" s="604"/>
      <c r="C50" s="600"/>
      <c r="D50" s="600"/>
      <c r="E50" s="600"/>
      <c r="F50" s="600"/>
      <c r="G50" s="606"/>
      <c r="H50" s="606"/>
      <c r="I50" s="564"/>
      <c r="J50" s="6"/>
    </row>
    <row r="51" spans="2:10" ht="15">
      <c r="B51" s="604"/>
      <c r="C51" s="600"/>
      <c r="D51" s="600"/>
      <c r="E51" s="600"/>
      <c r="F51" s="600"/>
      <c r="G51" s="606"/>
      <c r="H51" s="606"/>
      <c r="I51" s="564"/>
      <c r="J51" s="6"/>
    </row>
    <row r="52" spans="2:10" ht="15">
      <c r="B52" s="604"/>
      <c r="C52" s="600"/>
      <c r="D52" s="600"/>
      <c r="E52" s="600"/>
      <c r="F52" s="600"/>
      <c r="G52" s="606"/>
      <c r="H52" s="606"/>
      <c r="I52" s="564"/>
      <c r="J52" s="6"/>
    </row>
    <row r="53" spans="2:10" ht="15">
      <c r="B53" s="604"/>
      <c r="C53" s="600"/>
      <c r="D53" s="600"/>
      <c r="E53" s="600"/>
      <c r="F53" s="600"/>
      <c r="G53" s="606"/>
      <c r="H53" s="606"/>
      <c r="I53" s="564"/>
      <c r="J53" s="6"/>
    </row>
    <row r="54" spans="2:10" ht="15">
      <c r="B54" s="604"/>
      <c r="C54" s="600"/>
      <c r="D54" s="600"/>
      <c r="E54" s="600"/>
      <c r="F54" s="600"/>
      <c r="G54" s="606"/>
      <c r="H54" s="605" t="s">
        <v>179</v>
      </c>
      <c r="I54" s="564"/>
      <c r="J54" s="6"/>
    </row>
    <row r="55" spans="2:10" ht="15">
      <c r="B55" s="604"/>
      <c r="C55" s="585" t="s">
        <v>719</v>
      </c>
      <c r="D55" s="585"/>
      <c r="E55" s="585"/>
      <c r="F55" s="585"/>
      <c r="G55" s="585"/>
      <c r="H55" s="584"/>
      <c r="I55" s="564"/>
      <c r="J55" s="6"/>
    </row>
    <row r="56" spans="2:10" ht="15">
      <c r="B56" s="604"/>
      <c r="C56" s="585" t="s">
        <v>718</v>
      </c>
      <c r="D56" s="585"/>
      <c r="E56" s="585"/>
      <c r="F56" s="585"/>
      <c r="G56" s="585"/>
      <c r="H56" s="584"/>
      <c r="I56" s="573"/>
      <c r="J56" s="6"/>
    </row>
    <row r="57" spans="2:10" ht="12.75">
      <c r="B57" s="604"/>
      <c r="C57" s="603"/>
      <c r="D57" s="603"/>
      <c r="E57" s="603"/>
      <c r="F57" s="603"/>
      <c r="G57" s="602"/>
      <c r="H57" s="601"/>
      <c r="I57" s="582"/>
      <c r="J57" s="6"/>
    </row>
    <row r="58" spans="2:10" ht="15">
      <c r="B58" s="1512" t="s">
        <v>738</v>
      </c>
      <c r="C58" s="1512"/>
      <c r="D58" s="1512"/>
      <c r="E58" s="600"/>
      <c r="F58" s="600"/>
      <c r="G58" s="1496" t="s">
        <v>4</v>
      </c>
      <c r="H58" s="1496"/>
      <c r="I58" s="573"/>
      <c r="J58" s="6"/>
    </row>
    <row r="59" spans="1:10" ht="15">
      <c r="A59" s="1174"/>
      <c r="B59" s="209" t="s">
        <v>41</v>
      </c>
      <c r="C59" s="1194" t="s">
        <v>27</v>
      </c>
      <c r="D59" s="1195"/>
      <c r="E59" s="1195"/>
      <c r="F59" s="1196"/>
      <c r="G59" s="208" t="s">
        <v>28</v>
      </c>
      <c r="H59" s="208" t="s">
        <v>29</v>
      </c>
      <c r="I59" s="564"/>
      <c r="J59" s="6"/>
    </row>
    <row r="60" spans="1:10" ht="15.75" customHeight="1">
      <c r="A60" s="1175"/>
      <c r="B60" s="1497" t="s">
        <v>471</v>
      </c>
      <c r="C60" s="1499" t="s">
        <v>7</v>
      </c>
      <c r="D60" s="1499"/>
      <c r="E60" s="1499"/>
      <c r="F60" s="1499"/>
      <c r="G60" s="599" t="s">
        <v>716</v>
      </c>
      <c r="H60" s="598" t="s">
        <v>715</v>
      </c>
      <c r="I60" s="597"/>
      <c r="J60" s="6"/>
    </row>
    <row r="61" spans="1:10" ht="15">
      <c r="A61" s="1176"/>
      <c r="B61" s="1498"/>
      <c r="C61" s="1500"/>
      <c r="D61" s="1500"/>
      <c r="E61" s="1500"/>
      <c r="F61" s="1500"/>
      <c r="G61" s="596">
        <v>37987</v>
      </c>
      <c r="H61" s="595">
        <v>38352</v>
      </c>
      <c r="I61" s="564"/>
      <c r="J61" s="6"/>
    </row>
    <row r="62" spans="1:10" ht="15">
      <c r="A62" s="110">
        <v>40</v>
      </c>
      <c r="B62" s="569" t="s">
        <v>345</v>
      </c>
      <c r="C62" s="1509" t="s">
        <v>737</v>
      </c>
      <c r="D62" s="1510"/>
      <c r="E62" s="1510"/>
      <c r="F62" s="1511"/>
      <c r="G62" s="594">
        <v>0</v>
      </c>
      <c r="H62" s="172">
        <v>0</v>
      </c>
      <c r="I62" s="564"/>
      <c r="J62" s="6"/>
    </row>
    <row r="63" spans="1:10" ht="15">
      <c r="A63" s="110">
        <v>41</v>
      </c>
      <c r="B63" s="569" t="s">
        <v>344</v>
      </c>
      <c r="C63" s="1501" t="s">
        <v>736</v>
      </c>
      <c r="D63" s="1501"/>
      <c r="E63" s="1501"/>
      <c r="F63" s="1501"/>
      <c r="G63" s="594">
        <v>0</v>
      </c>
      <c r="H63" s="172">
        <v>0</v>
      </c>
      <c r="I63" s="564"/>
      <c r="J63" s="6"/>
    </row>
    <row r="64" spans="1:10" ht="15">
      <c r="A64" s="110">
        <v>42</v>
      </c>
      <c r="B64" s="570" t="s">
        <v>668</v>
      </c>
      <c r="C64" s="1505" t="s">
        <v>735</v>
      </c>
      <c r="D64" s="1505"/>
      <c r="E64" s="1505"/>
      <c r="F64" s="1505"/>
      <c r="G64" s="594">
        <v>0</v>
      </c>
      <c r="H64" s="172">
        <v>0</v>
      </c>
      <c r="I64" s="564"/>
      <c r="J64" s="6"/>
    </row>
    <row r="65" spans="1:10" ht="15">
      <c r="A65" s="110">
        <v>43</v>
      </c>
      <c r="B65" s="569" t="s">
        <v>343</v>
      </c>
      <c r="C65" s="1501" t="s">
        <v>734</v>
      </c>
      <c r="D65" s="1501"/>
      <c r="E65" s="1501"/>
      <c r="F65" s="1501"/>
      <c r="G65" s="594">
        <v>0</v>
      </c>
      <c r="H65" s="172">
        <v>32</v>
      </c>
      <c r="I65" s="564"/>
      <c r="J65" s="6"/>
    </row>
    <row r="66" spans="1:10" ht="15">
      <c r="A66" s="110">
        <v>44</v>
      </c>
      <c r="B66" s="569" t="s">
        <v>342</v>
      </c>
      <c r="C66" s="1501" t="s">
        <v>733</v>
      </c>
      <c r="D66" s="1501"/>
      <c r="E66" s="1501"/>
      <c r="F66" s="1501"/>
      <c r="G66" s="119">
        <v>493723</v>
      </c>
      <c r="H66" s="172">
        <v>497261</v>
      </c>
      <c r="I66" s="564"/>
      <c r="J66" s="6"/>
    </row>
    <row r="67" spans="1:10" ht="15">
      <c r="A67" s="110">
        <v>45</v>
      </c>
      <c r="B67" s="569" t="s">
        <v>341</v>
      </c>
      <c r="C67" s="1501" t="s">
        <v>732</v>
      </c>
      <c r="D67" s="1501"/>
      <c r="E67" s="1501"/>
      <c r="F67" s="1501"/>
      <c r="G67" s="119">
        <v>0</v>
      </c>
      <c r="H67" s="172">
        <v>0</v>
      </c>
      <c r="I67" s="564"/>
      <c r="J67" s="6"/>
    </row>
    <row r="68" spans="1:10" s="26" customFormat="1" ht="15.75">
      <c r="A68" s="110">
        <v>46</v>
      </c>
      <c r="B68" s="569" t="s">
        <v>340</v>
      </c>
      <c r="C68" s="1501" t="s">
        <v>731</v>
      </c>
      <c r="D68" s="1501"/>
      <c r="E68" s="1501"/>
      <c r="F68" s="1501"/>
      <c r="G68" s="119">
        <v>19016</v>
      </c>
      <c r="H68" s="172">
        <v>26735</v>
      </c>
      <c r="I68" s="568"/>
      <c r="J68" s="240"/>
    </row>
    <row r="69" spans="1:10" ht="15">
      <c r="A69" s="110">
        <v>47</v>
      </c>
      <c r="B69" s="270" t="s">
        <v>730</v>
      </c>
      <c r="C69" s="1506" t="s">
        <v>729</v>
      </c>
      <c r="D69" s="1506"/>
      <c r="E69" s="1506"/>
      <c r="F69" s="1506"/>
      <c r="G69" s="593">
        <f>SUM(G65:G68)</f>
        <v>512739</v>
      </c>
      <c r="H69" s="567">
        <f>SUM(H65:H68)</f>
        <v>524028</v>
      </c>
      <c r="I69" s="564"/>
      <c r="J69" s="6"/>
    </row>
    <row r="70" spans="1:10" ht="15">
      <c r="A70" s="110">
        <v>48</v>
      </c>
      <c r="B70" s="569" t="s">
        <v>339</v>
      </c>
      <c r="C70" s="1501" t="s">
        <v>728</v>
      </c>
      <c r="D70" s="1501"/>
      <c r="E70" s="1501"/>
      <c r="F70" s="1501"/>
      <c r="G70" s="119">
        <v>977</v>
      </c>
      <c r="H70" s="172">
        <v>3</v>
      </c>
      <c r="I70" s="564"/>
      <c r="J70" s="6"/>
    </row>
    <row r="71" spans="1:10" ht="15">
      <c r="A71" s="110">
        <v>49</v>
      </c>
      <c r="B71" s="569" t="s">
        <v>338</v>
      </c>
      <c r="C71" s="1501" t="s">
        <v>727</v>
      </c>
      <c r="D71" s="1501"/>
      <c r="E71" s="1501"/>
      <c r="F71" s="1501"/>
      <c r="G71" s="119">
        <v>10402</v>
      </c>
      <c r="H71" s="172">
        <v>10185</v>
      </c>
      <c r="I71" s="564"/>
      <c r="J71" s="6"/>
    </row>
    <row r="72" spans="1:10" ht="15">
      <c r="A72" s="110">
        <v>50</v>
      </c>
      <c r="B72" s="569" t="s">
        <v>337</v>
      </c>
      <c r="C72" s="1501" t="s">
        <v>726</v>
      </c>
      <c r="D72" s="1501"/>
      <c r="E72" s="1501"/>
      <c r="F72" s="1501"/>
      <c r="G72" s="119">
        <v>0</v>
      </c>
      <c r="H72" s="172">
        <v>20</v>
      </c>
      <c r="I72" s="564"/>
      <c r="J72" s="6"/>
    </row>
    <row r="73" spans="1:10" s="26" customFormat="1" ht="15.75">
      <c r="A73" s="110">
        <v>51</v>
      </c>
      <c r="B73" s="569" t="s">
        <v>529</v>
      </c>
      <c r="C73" s="1501" t="s">
        <v>725</v>
      </c>
      <c r="D73" s="1501"/>
      <c r="E73" s="1501"/>
      <c r="F73" s="1501"/>
      <c r="G73" s="119">
        <v>0</v>
      </c>
      <c r="H73" s="172">
        <v>0</v>
      </c>
      <c r="I73" s="568"/>
      <c r="J73" s="240"/>
    </row>
    <row r="74" spans="1:10" s="26" customFormat="1" ht="15.75">
      <c r="A74" s="110">
        <v>52</v>
      </c>
      <c r="B74" s="270" t="s">
        <v>724</v>
      </c>
      <c r="C74" s="1506" t="s">
        <v>723</v>
      </c>
      <c r="D74" s="1506"/>
      <c r="E74" s="1506"/>
      <c r="F74" s="1506"/>
      <c r="G74" s="593">
        <f>SUM(G70:G73)</f>
        <v>11379</v>
      </c>
      <c r="H74" s="567">
        <f>SUM(H70:H73)</f>
        <v>10208</v>
      </c>
      <c r="I74" s="568"/>
      <c r="J74" s="240"/>
    </row>
    <row r="75" spans="1:10" s="26" customFormat="1" ht="15.75">
      <c r="A75" s="110">
        <v>53</v>
      </c>
      <c r="B75" s="270" t="s">
        <v>722</v>
      </c>
      <c r="C75" s="1506" t="s">
        <v>721</v>
      </c>
      <c r="D75" s="1506"/>
      <c r="E75" s="1506"/>
      <c r="F75" s="1506"/>
      <c r="G75" s="593">
        <f>G74+G69+G64+G48+G42</f>
        <v>540425</v>
      </c>
      <c r="H75" s="567">
        <f>H74+H69+H64+H48+H42</f>
        <v>561782</v>
      </c>
      <c r="I75" s="568"/>
      <c r="J75" s="240"/>
    </row>
    <row r="76" spans="1:9" ht="15.75" thickBot="1">
      <c r="A76" s="110">
        <v>54</v>
      </c>
      <c r="B76" s="592"/>
      <c r="C76" s="1508" t="s">
        <v>720</v>
      </c>
      <c r="D76" s="1508"/>
      <c r="E76" s="1508"/>
      <c r="F76" s="1508"/>
      <c r="G76" s="591">
        <f>G75+G35</f>
        <v>2922855</v>
      </c>
      <c r="H76" s="565">
        <f>H75+H35</f>
        <v>2933231</v>
      </c>
      <c r="I76" s="563"/>
    </row>
    <row r="77" spans="2:9" ht="15">
      <c r="B77" s="589"/>
      <c r="C77" s="590"/>
      <c r="D77" s="590"/>
      <c r="E77" s="590"/>
      <c r="F77" s="590"/>
      <c r="G77" s="583"/>
      <c r="H77" s="583"/>
      <c r="I77" s="563"/>
    </row>
    <row r="78" spans="2:9" ht="15">
      <c r="B78" s="589"/>
      <c r="C78" s="588"/>
      <c r="D78" s="588"/>
      <c r="E78" s="588"/>
      <c r="F78" s="588"/>
      <c r="G78" s="583"/>
      <c r="H78" s="583"/>
      <c r="I78" s="563"/>
    </row>
    <row r="79" spans="2:9" ht="15">
      <c r="B79" s="583"/>
      <c r="C79" s="588"/>
      <c r="D79" s="588"/>
      <c r="E79" s="588"/>
      <c r="F79" s="588"/>
      <c r="G79" s="583"/>
      <c r="H79" s="583"/>
      <c r="I79" s="563"/>
    </row>
    <row r="80" spans="2:9" ht="15">
      <c r="B80" s="583"/>
      <c r="C80" s="583"/>
      <c r="D80" s="583"/>
      <c r="E80" s="583"/>
      <c r="F80" s="583"/>
      <c r="G80" s="583"/>
      <c r="H80" s="583"/>
      <c r="I80" s="563"/>
    </row>
    <row r="81" spans="2:9" ht="15">
      <c r="B81" s="583"/>
      <c r="C81" s="583"/>
      <c r="D81" s="583"/>
      <c r="E81" s="583"/>
      <c r="F81" s="583"/>
      <c r="G81" s="583"/>
      <c r="H81" s="583"/>
      <c r="I81" s="563"/>
    </row>
    <row r="82" spans="2:9" ht="15">
      <c r="B82" s="583"/>
      <c r="C82" s="583"/>
      <c r="D82" s="583"/>
      <c r="E82" s="583"/>
      <c r="F82" s="583"/>
      <c r="G82" s="583"/>
      <c r="H82" s="583"/>
      <c r="I82" s="563"/>
    </row>
    <row r="83" spans="2:9" ht="15">
      <c r="B83" s="583"/>
      <c r="C83" s="583"/>
      <c r="D83" s="583"/>
      <c r="E83" s="583"/>
      <c r="F83" s="583"/>
      <c r="G83" s="583"/>
      <c r="H83" s="583"/>
      <c r="I83" s="563"/>
    </row>
    <row r="84" spans="2:9" ht="15">
      <c r="B84" s="583"/>
      <c r="C84" s="583"/>
      <c r="D84" s="583"/>
      <c r="E84" s="583"/>
      <c r="F84" s="583"/>
      <c r="G84" s="583"/>
      <c r="H84" s="583"/>
      <c r="I84" s="563"/>
    </row>
    <row r="85" spans="2:9" ht="15">
      <c r="B85" s="583"/>
      <c r="C85" s="583"/>
      <c r="D85" s="583"/>
      <c r="E85" s="583"/>
      <c r="F85" s="583"/>
      <c r="G85" s="583"/>
      <c r="H85" s="583"/>
      <c r="I85" s="563"/>
    </row>
    <row r="86" spans="2:9" ht="15">
      <c r="B86" s="583"/>
      <c r="C86" s="583"/>
      <c r="D86" s="583"/>
      <c r="E86" s="583"/>
      <c r="F86" s="583"/>
      <c r="G86" s="583"/>
      <c r="H86" s="583"/>
      <c r="I86" s="563"/>
    </row>
    <row r="87" spans="2:9" ht="15">
      <c r="B87" s="583"/>
      <c r="C87" s="583"/>
      <c r="D87" s="583"/>
      <c r="E87" s="583"/>
      <c r="F87" s="583"/>
      <c r="G87" s="583"/>
      <c r="H87" s="583"/>
      <c r="I87" s="563"/>
    </row>
    <row r="88" spans="2:9" ht="15">
      <c r="B88" s="583"/>
      <c r="C88" s="583"/>
      <c r="D88" s="583"/>
      <c r="E88" s="583"/>
      <c r="F88" s="583"/>
      <c r="G88" s="583"/>
      <c r="H88" s="583"/>
      <c r="I88" s="563"/>
    </row>
    <row r="89" spans="2:9" ht="15">
      <c r="B89" s="583"/>
      <c r="C89" s="583"/>
      <c r="D89" s="583"/>
      <c r="E89" s="583"/>
      <c r="F89" s="583"/>
      <c r="G89" s="583"/>
      <c r="H89" s="583"/>
      <c r="I89" s="563"/>
    </row>
    <row r="90" spans="2:9" ht="15">
      <c r="B90" s="583"/>
      <c r="C90" s="583"/>
      <c r="D90" s="583"/>
      <c r="E90" s="583"/>
      <c r="F90" s="583"/>
      <c r="G90" s="583"/>
      <c r="H90" s="583"/>
      <c r="I90" s="563"/>
    </row>
    <row r="91" spans="2:9" ht="15">
      <c r="B91" s="583"/>
      <c r="C91" s="583"/>
      <c r="D91" s="583"/>
      <c r="E91" s="583"/>
      <c r="F91" s="583"/>
      <c r="G91" s="583"/>
      <c r="H91" s="583"/>
      <c r="I91" s="563"/>
    </row>
    <row r="92" spans="2:9" ht="15">
      <c r="B92" s="583"/>
      <c r="C92" s="583"/>
      <c r="D92" s="583"/>
      <c r="E92" s="583"/>
      <c r="F92" s="583"/>
      <c r="G92" s="583"/>
      <c r="H92" s="583"/>
      <c r="I92" s="563"/>
    </row>
    <row r="93" spans="2:9" ht="15">
      <c r="B93" s="583"/>
      <c r="C93" s="583"/>
      <c r="D93" s="583"/>
      <c r="E93" s="583"/>
      <c r="F93" s="583"/>
      <c r="G93" s="583"/>
      <c r="H93" s="583"/>
      <c r="I93" s="563"/>
    </row>
    <row r="94" spans="2:9" ht="15">
      <c r="B94" s="583"/>
      <c r="C94" s="583"/>
      <c r="D94" s="583"/>
      <c r="E94" s="583"/>
      <c r="F94" s="583"/>
      <c r="G94" s="583"/>
      <c r="H94" s="583"/>
      <c r="I94" s="563"/>
    </row>
    <row r="95" spans="2:9" ht="15">
      <c r="B95" s="583"/>
      <c r="C95" s="583"/>
      <c r="D95" s="583"/>
      <c r="E95" s="583"/>
      <c r="F95" s="583"/>
      <c r="G95" s="583"/>
      <c r="H95" s="583"/>
      <c r="I95" s="563"/>
    </row>
    <row r="96" spans="2:9" ht="15">
      <c r="B96" s="583"/>
      <c r="C96" s="583"/>
      <c r="D96" s="583"/>
      <c r="E96" s="583"/>
      <c r="F96" s="583"/>
      <c r="G96" s="583"/>
      <c r="H96" s="583"/>
      <c r="I96" s="563"/>
    </row>
    <row r="97" spans="2:9" ht="15">
      <c r="B97" s="583"/>
      <c r="C97" s="583"/>
      <c r="D97" s="583"/>
      <c r="E97" s="583"/>
      <c r="F97" s="583"/>
      <c r="G97" s="583"/>
      <c r="H97" s="583"/>
      <c r="I97" s="563"/>
    </row>
    <row r="98" spans="2:9" ht="15">
      <c r="B98" s="583"/>
      <c r="C98" s="583"/>
      <c r="D98" s="583"/>
      <c r="E98" s="583"/>
      <c r="F98" s="583"/>
      <c r="G98" s="583"/>
      <c r="H98" s="583"/>
      <c r="I98" s="563"/>
    </row>
    <row r="99" spans="2:9" ht="15">
      <c r="B99" s="583"/>
      <c r="C99" s="583"/>
      <c r="D99" s="583"/>
      <c r="E99" s="583"/>
      <c r="F99" s="583"/>
      <c r="G99" s="583"/>
      <c r="H99" s="583"/>
      <c r="I99" s="563"/>
    </row>
    <row r="100" spans="2:9" ht="15">
      <c r="B100" s="583"/>
      <c r="C100" s="583"/>
      <c r="D100" s="583"/>
      <c r="E100" s="583"/>
      <c r="F100" s="583"/>
      <c r="G100" s="583"/>
      <c r="H100" s="583"/>
      <c r="I100" s="563"/>
    </row>
    <row r="101" spans="2:9" ht="15">
      <c r="B101" s="583"/>
      <c r="C101" s="583"/>
      <c r="D101" s="583"/>
      <c r="E101" s="583"/>
      <c r="F101" s="583"/>
      <c r="G101" s="583"/>
      <c r="H101" s="583"/>
      <c r="I101" s="563"/>
    </row>
    <row r="102" spans="2:9" ht="15">
      <c r="B102" s="583"/>
      <c r="C102" s="583"/>
      <c r="D102" s="583"/>
      <c r="E102" s="583"/>
      <c r="F102" s="583"/>
      <c r="G102" s="583"/>
      <c r="H102" s="583"/>
      <c r="I102" s="563"/>
    </row>
    <row r="103" spans="2:9" ht="15">
      <c r="B103" s="583"/>
      <c r="C103" s="583"/>
      <c r="D103" s="583"/>
      <c r="E103" s="583"/>
      <c r="F103" s="583"/>
      <c r="G103" s="583"/>
      <c r="H103" s="583"/>
      <c r="I103" s="563"/>
    </row>
    <row r="104" spans="2:9" ht="15">
      <c r="B104" s="583"/>
      <c r="C104" s="583"/>
      <c r="D104" s="583"/>
      <c r="E104" s="583"/>
      <c r="F104" s="583"/>
      <c r="G104" s="583"/>
      <c r="H104" s="583"/>
      <c r="I104" s="563"/>
    </row>
    <row r="105" spans="2:9" ht="15">
      <c r="B105" s="583"/>
      <c r="C105" s="583"/>
      <c r="D105" s="583"/>
      <c r="E105" s="583"/>
      <c r="F105" s="583"/>
      <c r="G105" s="583"/>
      <c r="H105" s="583"/>
      <c r="I105" s="563"/>
    </row>
    <row r="106" spans="2:9" ht="15">
      <c r="B106" s="583"/>
      <c r="C106" s="583"/>
      <c r="D106" s="583"/>
      <c r="E106" s="583"/>
      <c r="F106" s="583"/>
      <c r="G106" s="583"/>
      <c r="H106" s="583"/>
      <c r="I106" s="563"/>
    </row>
    <row r="107" spans="2:9" ht="15">
      <c r="B107" s="588"/>
      <c r="C107" s="588"/>
      <c r="D107" s="588"/>
      <c r="E107" s="588"/>
      <c r="F107" s="588"/>
      <c r="G107" s="588"/>
      <c r="H107" s="587" t="s">
        <v>547</v>
      </c>
      <c r="I107" s="563"/>
    </row>
    <row r="108" spans="2:9" ht="15">
      <c r="B108" s="586"/>
      <c r="C108" s="585" t="s">
        <v>719</v>
      </c>
      <c r="D108" s="585"/>
      <c r="E108" s="585"/>
      <c r="F108" s="585"/>
      <c r="G108" s="585"/>
      <c r="H108" s="584"/>
      <c r="I108" s="563"/>
    </row>
    <row r="109" spans="2:10" ht="15" customHeight="1">
      <c r="B109" s="586"/>
      <c r="C109" s="585" t="s">
        <v>718</v>
      </c>
      <c r="D109" s="585"/>
      <c r="E109" s="585"/>
      <c r="F109" s="585"/>
      <c r="G109" s="585"/>
      <c r="H109" s="584"/>
      <c r="I109" s="563"/>
      <c r="J109" s="9"/>
    </row>
    <row r="110" spans="2:10" ht="12.75" customHeight="1">
      <c r="B110" s="1520"/>
      <c r="C110" s="1520"/>
      <c r="D110" s="1520"/>
      <c r="E110" s="1520"/>
      <c r="F110" s="1520"/>
      <c r="G110" s="1520"/>
      <c r="H110" s="1520"/>
      <c r="I110" s="580"/>
      <c r="J110" s="99"/>
    </row>
    <row r="111" spans="2:10" ht="14.25" customHeight="1">
      <c r="B111" s="1521" t="s">
        <v>717</v>
      </c>
      <c r="C111" s="1522"/>
      <c r="D111" s="583"/>
      <c r="E111" s="583"/>
      <c r="F111" s="583"/>
      <c r="G111" s="582"/>
      <c r="H111" s="581" t="s">
        <v>4</v>
      </c>
      <c r="I111" s="580"/>
      <c r="J111" s="99"/>
    </row>
    <row r="112" spans="1:9" ht="15">
      <c r="A112" s="1174"/>
      <c r="B112" s="270" t="s">
        <v>41</v>
      </c>
      <c r="C112" s="1280" t="s">
        <v>27</v>
      </c>
      <c r="D112" s="1517"/>
      <c r="E112" s="1517"/>
      <c r="F112" s="1518"/>
      <c r="G112" s="208" t="s">
        <v>28</v>
      </c>
      <c r="H112" s="269" t="s">
        <v>29</v>
      </c>
      <c r="I112" s="563"/>
    </row>
    <row r="113" spans="1:10" ht="13.5" customHeight="1">
      <c r="A113" s="1175"/>
      <c r="B113" s="1497" t="s">
        <v>471</v>
      </c>
      <c r="C113" s="1499" t="s">
        <v>7</v>
      </c>
      <c r="D113" s="1499"/>
      <c r="E113" s="1499"/>
      <c r="F113" s="1499"/>
      <c r="G113" s="579" t="s">
        <v>716</v>
      </c>
      <c r="H113" s="578" t="s">
        <v>715</v>
      </c>
      <c r="I113" s="577"/>
      <c r="J113" s="576"/>
    </row>
    <row r="114" spans="1:10" ht="16.5" customHeight="1">
      <c r="A114" s="1176"/>
      <c r="B114" s="1523"/>
      <c r="C114" s="1513"/>
      <c r="D114" s="1513"/>
      <c r="E114" s="1513"/>
      <c r="F114" s="1513"/>
      <c r="G114" s="575">
        <v>37987</v>
      </c>
      <c r="H114" s="574">
        <v>38352</v>
      </c>
      <c r="I114" s="573"/>
      <c r="J114" s="476"/>
    </row>
    <row r="115" spans="1:10" ht="16.5" customHeight="1">
      <c r="A115" s="110">
        <v>55</v>
      </c>
      <c r="B115" s="569" t="s">
        <v>390</v>
      </c>
      <c r="C115" s="1501" t="s">
        <v>714</v>
      </c>
      <c r="D115" s="1501"/>
      <c r="E115" s="1501"/>
      <c r="F115" s="1501"/>
      <c r="G115" s="119">
        <v>40962</v>
      </c>
      <c r="H115" s="172">
        <v>40962</v>
      </c>
      <c r="I115" s="572"/>
      <c r="J115" s="477"/>
    </row>
    <row r="116" spans="1:10" s="26" customFormat="1" ht="18" customHeight="1">
      <c r="A116" s="208">
        <v>56</v>
      </c>
      <c r="B116" s="569" t="s">
        <v>429</v>
      </c>
      <c r="C116" s="1501" t="s">
        <v>713</v>
      </c>
      <c r="D116" s="1501"/>
      <c r="E116" s="1501"/>
      <c r="F116" s="1501"/>
      <c r="G116" s="119">
        <v>1798174</v>
      </c>
      <c r="H116" s="172">
        <v>1828096</v>
      </c>
      <c r="I116" s="568"/>
      <c r="J116" s="240"/>
    </row>
    <row r="117" spans="1:10" ht="15">
      <c r="A117" s="110">
        <v>57</v>
      </c>
      <c r="B117" s="569" t="s">
        <v>428</v>
      </c>
      <c r="C117" s="1501" t="s">
        <v>712</v>
      </c>
      <c r="D117" s="1501"/>
      <c r="E117" s="1501"/>
      <c r="F117" s="1501"/>
      <c r="G117" s="119">
        <v>0</v>
      </c>
      <c r="H117" s="172">
        <v>0</v>
      </c>
      <c r="I117" s="564"/>
      <c r="J117" s="6"/>
    </row>
    <row r="118" spans="1:10" ht="15" customHeight="1">
      <c r="A118" s="110">
        <v>58</v>
      </c>
      <c r="B118" s="270" t="s">
        <v>711</v>
      </c>
      <c r="C118" s="1506" t="s">
        <v>710</v>
      </c>
      <c r="D118" s="1506"/>
      <c r="E118" s="1506"/>
      <c r="F118" s="1506"/>
      <c r="G118" s="121">
        <f>SUM(G115:G117)</f>
        <v>1839136</v>
      </c>
      <c r="H118" s="567">
        <f>SUM(H115:H117)</f>
        <v>1869058</v>
      </c>
      <c r="I118" s="564"/>
      <c r="J118" s="6"/>
    </row>
    <row r="119" spans="1:10" ht="15">
      <c r="A119" s="110">
        <v>59</v>
      </c>
      <c r="B119" s="569" t="s">
        <v>427</v>
      </c>
      <c r="C119" s="1501" t="s">
        <v>709</v>
      </c>
      <c r="D119" s="1501"/>
      <c r="E119" s="1501"/>
      <c r="F119" s="1501"/>
      <c r="G119" s="119">
        <f>SUM(G120:G121)</f>
        <v>418538</v>
      </c>
      <c r="H119" s="119">
        <f>SUM(H120:H121)</f>
        <v>4073</v>
      </c>
      <c r="I119" s="564"/>
      <c r="J119" s="6"/>
    </row>
    <row r="120" spans="1:10" ht="15" customHeight="1">
      <c r="A120" s="208">
        <v>60</v>
      </c>
      <c r="B120" s="571">
        <v>4.1</v>
      </c>
      <c r="C120" s="1501" t="s">
        <v>708</v>
      </c>
      <c r="D120" s="1501"/>
      <c r="E120" s="1501"/>
      <c r="F120" s="1501"/>
      <c r="G120" s="119">
        <v>418538</v>
      </c>
      <c r="H120" s="172">
        <v>3570</v>
      </c>
      <c r="I120" s="564"/>
      <c r="J120" s="6"/>
    </row>
    <row r="121" spans="1:10" ht="15">
      <c r="A121" s="110">
        <v>61</v>
      </c>
      <c r="B121" s="571">
        <v>4.2</v>
      </c>
      <c r="C121" s="1501" t="s">
        <v>707</v>
      </c>
      <c r="D121" s="1501"/>
      <c r="E121" s="1501"/>
      <c r="F121" s="1501"/>
      <c r="G121" s="119">
        <v>0</v>
      </c>
      <c r="H121" s="172">
        <v>503</v>
      </c>
      <c r="I121" s="564"/>
      <c r="J121" s="6"/>
    </row>
    <row r="122" spans="1:10" ht="15">
      <c r="A122" s="110">
        <v>62</v>
      </c>
      <c r="B122" s="569" t="s">
        <v>426</v>
      </c>
      <c r="C122" s="1501" t="s">
        <v>706</v>
      </c>
      <c r="D122" s="1501"/>
      <c r="E122" s="1501"/>
      <c r="F122" s="1501"/>
      <c r="G122" s="119">
        <v>73128</v>
      </c>
      <c r="H122" s="172">
        <v>490012</v>
      </c>
      <c r="I122" s="564"/>
      <c r="J122" s="6"/>
    </row>
    <row r="123" spans="1:10" ht="15">
      <c r="A123" s="110">
        <v>63</v>
      </c>
      <c r="B123" s="569" t="s">
        <v>425</v>
      </c>
      <c r="C123" s="1501" t="s">
        <v>705</v>
      </c>
      <c r="D123" s="1501"/>
      <c r="E123" s="1501"/>
      <c r="F123" s="1501"/>
      <c r="G123" s="119">
        <v>0</v>
      </c>
      <c r="H123" s="172">
        <v>0</v>
      </c>
      <c r="I123" s="564"/>
      <c r="J123" s="6"/>
    </row>
    <row r="124" spans="1:10" s="26" customFormat="1" ht="15" customHeight="1">
      <c r="A124" s="208">
        <v>64</v>
      </c>
      <c r="B124" s="569" t="s">
        <v>424</v>
      </c>
      <c r="C124" s="1501" t="s">
        <v>704</v>
      </c>
      <c r="D124" s="1501"/>
      <c r="E124" s="1501"/>
      <c r="F124" s="1501"/>
      <c r="G124" s="119">
        <v>0</v>
      </c>
      <c r="H124" s="172">
        <v>0</v>
      </c>
      <c r="I124" s="568"/>
      <c r="J124" s="240"/>
    </row>
    <row r="125" spans="1:10" ht="15">
      <c r="A125" s="110">
        <v>65</v>
      </c>
      <c r="B125" s="569" t="s">
        <v>423</v>
      </c>
      <c r="C125" s="1501" t="s">
        <v>703</v>
      </c>
      <c r="D125" s="1501"/>
      <c r="E125" s="1501"/>
      <c r="F125" s="1501"/>
      <c r="G125" s="119">
        <v>0</v>
      </c>
      <c r="H125" s="172">
        <v>0</v>
      </c>
      <c r="I125" s="564"/>
      <c r="J125" s="6"/>
    </row>
    <row r="126" spans="1:10" ht="15">
      <c r="A126" s="110">
        <v>66</v>
      </c>
      <c r="B126" s="270" t="s">
        <v>688</v>
      </c>
      <c r="C126" s="1506" t="s">
        <v>702</v>
      </c>
      <c r="D126" s="1506"/>
      <c r="E126" s="1506"/>
      <c r="F126" s="1506"/>
      <c r="G126" s="121">
        <f>G122+G119</f>
        <v>491666</v>
      </c>
      <c r="H126" s="567">
        <f>H122+H119</f>
        <v>494085</v>
      </c>
      <c r="I126" s="564"/>
      <c r="J126" s="6"/>
    </row>
    <row r="127" spans="1:10" ht="15">
      <c r="A127" s="208">
        <v>67</v>
      </c>
      <c r="B127" s="569" t="s">
        <v>422</v>
      </c>
      <c r="C127" s="1501" t="s">
        <v>701</v>
      </c>
      <c r="D127" s="1501"/>
      <c r="E127" s="1501"/>
      <c r="F127" s="1501"/>
      <c r="G127" s="119">
        <v>0</v>
      </c>
      <c r="H127" s="172">
        <v>0</v>
      </c>
      <c r="I127" s="564"/>
      <c r="J127" s="6"/>
    </row>
    <row r="128" spans="1:10" ht="15">
      <c r="A128" s="110">
        <v>68</v>
      </c>
      <c r="B128" s="569">
        <v>9.1</v>
      </c>
      <c r="C128" s="1501" t="s">
        <v>700</v>
      </c>
      <c r="D128" s="1501"/>
      <c r="E128" s="1501"/>
      <c r="F128" s="1501"/>
      <c r="G128" s="119">
        <v>0</v>
      </c>
      <c r="H128" s="172">
        <v>0</v>
      </c>
      <c r="I128" s="564"/>
      <c r="J128" s="6"/>
    </row>
    <row r="129" spans="1:10" ht="15">
      <c r="A129" s="110">
        <v>69</v>
      </c>
      <c r="B129" s="571">
        <v>9.2</v>
      </c>
      <c r="C129" s="1501" t="s">
        <v>699</v>
      </c>
      <c r="D129" s="1501"/>
      <c r="E129" s="1501"/>
      <c r="F129" s="1501"/>
      <c r="G129" s="119">
        <v>0</v>
      </c>
      <c r="H129" s="172">
        <v>0</v>
      </c>
      <c r="I129" s="564"/>
      <c r="J129" s="6"/>
    </row>
    <row r="130" spans="1:10" ht="15">
      <c r="A130" s="208">
        <v>70</v>
      </c>
      <c r="B130" s="569" t="s">
        <v>421</v>
      </c>
      <c r="C130" s="1501" t="s">
        <v>698</v>
      </c>
      <c r="D130" s="1501"/>
      <c r="E130" s="1501"/>
      <c r="F130" s="1501"/>
      <c r="G130" s="119">
        <v>0</v>
      </c>
      <c r="H130" s="172">
        <v>0</v>
      </c>
      <c r="I130" s="564"/>
      <c r="J130" s="6"/>
    </row>
    <row r="131" spans="1:10" ht="15">
      <c r="A131" s="110">
        <v>71</v>
      </c>
      <c r="B131" s="569" t="s">
        <v>420</v>
      </c>
      <c r="C131" s="1501" t="s">
        <v>697</v>
      </c>
      <c r="D131" s="1501"/>
      <c r="E131" s="1501"/>
      <c r="F131" s="1501"/>
      <c r="G131" s="119">
        <v>0</v>
      </c>
      <c r="H131" s="172">
        <v>0</v>
      </c>
      <c r="I131" s="564"/>
      <c r="J131" s="6"/>
    </row>
    <row r="132" spans="1:10" s="26" customFormat="1" ht="15.75">
      <c r="A132" s="110">
        <v>72</v>
      </c>
      <c r="B132" s="569" t="s">
        <v>419</v>
      </c>
      <c r="C132" s="1501" t="s">
        <v>696</v>
      </c>
      <c r="D132" s="1501"/>
      <c r="E132" s="1501"/>
      <c r="F132" s="1501"/>
      <c r="G132" s="119">
        <v>0</v>
      </c>
      <c r="H132" s="172">
        <v>0</v>
      </c>
      <c r="I132" s="568"/>
      <c r="J132" s="240"/>
    </row>
    <row r="133" spans="1:10" ht="15">
      <c r="A133" s="208">
        <v>73</v>
      </c>
      <c r="B133" s="570" t="s">
        <v>676</v>
      </c>
      <c r="C133" s="1505" t="s">
        <v>695</v>
      </c>
      <c r="D133" s="1505"/>
      <c r="E133" s="1505"/>
      <c r="F133" s="1505"/>
      <c r="G133" s="119">
        <v>0</v>
      </c>
      <c r="H133" s="172">
        <v>0</v>
      </c>
      <c r="I133" s="564"/>
      <c r="J133" s="6"/>
    </row>
    <row r="134" spans="1:10" ht="15">
      <c r="A134" s="110">
        <v>74</v>
      </c>
      <c r="B134" s="270" t="s">
        <v>694</v>
      </c>
      <c r="C134" s="1506" t="s">
        <v>693</v>
      </c>
      <c r="D134" s="1506"/>
      <c r="E134" s="1506"/>
      <c r="F134" s="1506"/>
      <c r="G134" s="121">
        <f>G126+G133</f>
        <v>491666</v>
      </c>
      <c r="H134" s="567">
        <f>H126+H133</f>
        <v>494085</v>
      </c>
      <c r="I134" s="564"/>
      <c r="J134" s="6"/>
    </row>
    <row r="135" spans="1:10" ht="15">
      <c r="A135" s="110">
        <v>75</v>
      </c>
      <c r="B135" s="569" t="s">
        <v>418</v>
      </c>
      <c r="C135" s="1501" t="s">
        <v>692</v>
      </c>
      <c r="D135" s="1501"/>
      <c r="E135" s="1501"/>
      <c r="F135" s="1501"/>
      <c r="G135" s="119">
        <v>0</v>
      </c>
      <c r="H135" s="172">
        <v>0</v>
      </c>
      <c r="I135" s="564"/>
      <c r="J135" s="6"/>
    </row>
    <row r="136" spans="1:10" ht="15">
      <c r="A136" s="208">
        <v>76</v>
      </c>
      <c r="B136" s="569" t="s">
        <v>389</v>
      </c>
      <c r="C136" s="1501" t="s">
        <v>691</v>
      </c>
      <c r="D136" s="1501"/>
      <c r="E136" s="1501"/>
      <c r="F136" s="1501"/>
      <c r="G136" s="119">
        <v>500000</v>
      </c>
      <c r="H136" s="172">
        <v>500000</v>
      </c>
      <c r="I136" s="564"/>
      <c r="J136" s="6"/>
    </row>
    <row r="137" spans="1:10" s="26" customFormat="1" ht="15.75">
      <c r="A137" s="110">
        <v>77</v>
      </c>
      <c r="B137" s="569" t="s">
        <v>388</v>
      </c>
      <c r="C137" s="1501" t="s">
        <v>690</v>
      </c>
      <c r="D137" s="1501"/>
      <c r="E137" s="1501"/>
      <c r="F137" s="1501"/>
      <c r="G137" s="119">
        <v>18840</v>
      </c>
      <c r="H137" s="172">
        <v>17680</v>
      </c>
      <c r="I137" s="568"/>
      <c r="J137" s="240"/>
    </row>
    <row r="138" spans="1:10" ht="15">
      <c r="A138" s="110">
        <v>78</v>
      </c>
      <c r="B138" s="569" t="s">
        <v>387</v>
      </c>
      <c r="C138" s="1501" t="s">
        <v>689</v>
      </c>
      <c r="D138" s="1501"/>
      <c r="E138" s="1501"/>
      <c r="F138" s="1501"/>
      <c r="G138" s="119">
        <v>0</v>
      </c>
      <c r="H138" s="172">
        <v>0</v>
      </c>
      <c r="I138" s="564"/>
      <c r="J138" s="6"/>
    </row>
    <row r="139" spans="1:10" ht="15">
      <c r="A139" s="208">
        <v>79</v>
      </c>
      <c r="B139" s="270" t="s">
        <v>688</v>
      </c>
      <c r="C139" s="1506" t="s">
        <v>687</v>
      </c>
      <c r="D139" s="1506"/>
      <c r="E139" s="1506"/>
      <c r="F139" s="1506"/>
      <c r="G139" s="121">
        <f>SUM(G135:G138)</f>
        <v>518840</v>
      </c>
      <c r="H139" s="567">
        <f>SUM(H135:H138)</f>
        <v>517680</v>
      </c>
      <c r="I139" s="564"/>
      <c r="J139" s="6"/>
    </row>
    <row r="140" spans="1:10" ht="15">
      <c r="A140" s="110">
        <v>80</v>
      </c>
      <c r="B140" s="569" t="s">
        <v>530</v>
      </c>
      <c r="C140" s="1501" t="s">
        <v>686</v>
      </c>
      <c r="D140" s="1501"/>
      <c r="E140" s="1501"/>
      <c r="F140" s="1501"/>
      <c r="G140" s="119">
        <v>0</v>
      </c>
      <c r="H140" s="172">
        <v>0</v>
      </c>
      <c r="I140" s="564"/>
      <c r="J140" s="6"/>
    </row>
    <row r="141" spans="1:10" ht="15">
      <c r="A141" s="110">
        <v>81</v>
      </c>
      <c r="B141" s="569" t="s">
        <v>386</v>
      </c>
      <c r="C141" s="1501" t="s">
        <v>685</v>
      </c>
      <c r="D141" s="1501"/>
      <c r="E141" s="1501"/>
      <c r="F141" s="1501"/>
      <c r="G141" s="119">
        <v>0</v>
      </c>
      <c r="H141" s="172">
        <v>0</v>
      </c>
      <c r="I141" s="564"/>
      <c r="J141" s="6"/>
    </row>
    <row r="142" spans="1:10" ht="15">
      <c r="A142" s="208">
        <v>82</v>
      </c>
      <c r="B142" s="569" t="s">
        <v>385</v>
      </c>
      <c r="C142" s="1501" t="s">
        <v>684</v>
      </c>
      <c r="D142" s="1501"/>
      <c r="E142" s="1501"/>
      <c r="F142" s="1501"/>
      <c r="G142" s="119">
        <v>0</v>
      </c>
      <c r="H142" s="172">
        <v>0</v>
      </c>
      <c r="I142" s="564"/>
      <c r="J142" s="6"/>
    </row>
    <row r="143" spans="1:10" ht="15">
      <c r="A143" s="110">
        <v>83</v>
      </c>
      <c r="B143" s="569">
        <v>19.1</v>
      </c>
      <c r="C143" s="1501" t="s">
        <v>683</v>
      </c>
      <c r="D143" s="1501"/>
      <c r="E143" s="1501"/>
      <c r="F143" s="1501"/>
      <c r="G143" s="119">
        <v>0</v>
      </c>
      <c r="H143" s="172">
        <v>0</v>
      </c>
      <c r="I143" s="564"/>
      <c r="J143" s="6"/>
    </row>
    <row r="144" spans="1:10" ht="15">
      <c r="A144" s="110">
        <v>84</v>
      </c>
      <c r="B144" s="569">
        <v>19.2</v>
      </c>
      <c r="C144" s="1501" t="s">
        <v>682</v>
      </c>
      <c r="D144" s="1501"/>
      <c r="E144" s="1501"/>
      <c r="F144" s="1501"/>
      <c r="G144" s="119">
        <v>0</v>
      </c>
      <c r="H144" s="172">
        <v>0</v>
      </c>
      <c r="I144" s="564"/>
      <c r="J144" s="6"/>
    </row>
    <row r="145" spans="1:10" ht="15" customHeight="1">
      <c r="A145" s="208">
        <v>85</v>
      </c>
      <c r="B145" s="569" t="s">
        <v>384</v>
      </c>
      <c r="C145" s="1501" t="s">
        <v>681</v>
      </c>
      <c r="D145" s="1501"/>
      <c r="E145" s="1501"/>
      <c r="F145" s="1501"/>
      <c r="G145" s="119">
        <f>SUM(G146:G149)</f>
        <v>40761</v>
      </c>
      <c r="H145" s="119">
        <f>SUM(H146:H149)</f>
        <v>12256</v>
      </c>
      <c r="I145" s="564"/>
      <c r="J145" s="6"/>
    </row>
    <row r="146" spans="1:10" ht="15">
      <c r="A146" s="110">
        <v>86</v>
      </c>
      <c r="B146" s="569">
        <v>20.1</v>
      </c>
      <c r="C146" s="1501" t="s">
        <v>680</v>
      </c>
      <c r="D146" s="1501"/>
      <c r="E146" s="1501"/>
      <c r="F146" s="1501"/>
      <c r="G146" s="119">
        <v>35821</v>
      </c>
      <c r="H146" s="172">
        <v>8470</v>
      </c>
      <c r="I146" s="564"/>
      <c r="J146" s="6"/>
    </row>
    <row r="147" spans="1:10" ht="15">
      <c r="A147" s="110">
        <v>87</v>
      </c>
      <c r="B147" s="569">
        <v>20.2</v>
      </c>
      <c r="C147" s="1501" t="s">
        <v>679</v>
      </c>
      <c r="D147" s="1501"/>
      <c r="E147" s="1501"/>
      <c r="F147" s="1501"/>
      <c r="G147" s="119">
        <v>3629</v>
      </c>
      <c r="H147" s="172">
        <v>2509</v>
      </c>
      <c r="I147" s="564"/>
      <c r="J147" s="6"/>
    </row>
    <row r="148" spans="1:10" s="26" customFormat="1" ht="15.75">
      <c r="A148" s="208">
        <v>88</v>
      </c>
      <c r="B148" s="569">
        <v>20.3</v>
      </c>
      <c r="C148" s="1509" t="s">
        <v>678</v>
      </c>
      <c r="D148" s="1510"/>
      <c r="E148" s="1510"/>
      <c r="F148" s="1511"/>
      <c r="G148" s="119">
        <v>1160</v>
      </c>
      <c r="H148" s="172">
        <v>1160</v>
      </c>
      <c r="I148" s="568"/>
      <c r="J148" s="240"/>
    </row>
    <row r="149" spans="1:10" ht="15">
      <c r="A149" s="110">
        <v>89</v>
      </c>
      <c r="B149" s="569">
        <v>20.4</v>
      </c>
      <c r="C149" s="1501" t="s">
        <v>677</v>
      </c>
      <c r="D149" s="1501"/>
      <c r="E149" s="1501"/>
      <c r="F149" s="1501"/>
      <c r="G149" s="119">
        <v>151</v>
      </c>
      <c r="H149" s="172">
        <v>117</v>
      </c>
      <c r="I149" s="564"/>
      <c r="J149" s="6"/>
    </row>
    <row r="150" spans="1:10" ht="15" customHeight="1">
      <c r="A150" s="110">
        <v>90</v>
      </c>
      <c r="B150" s="270" t="s">
        <v>676</v>
      </c>
      <c r="C150" s="1506" t="s">
        <v>675</v>
      </c>
      <c r="D150" s="1506"/>
      <c r="E150" s="1506"/>
      <c r="F150" s="1506"/>
      <c r="G150" s="121">
        <f>G142+G145+G140+G141</f>
        <v>40761</v>
      </c>
      <c r="H150" s="121">
        <f>H142+H145+H140+H141</f>
        <v>12256</v>
      </c>
      <c r="I150" s="564"/>
      <c r="J150" s="6"/>
    </row>
    <row r="151" spans="1:10" ht="15">
      <c r="A151" s="208">
        <v>91</v>
      </c>
      <c r="B151" s="569" t="s">
        <v>383</v>
      </c>
      <c r="C151" s="1501" t="s">
        <v>674</v>
      </c>
      <c r="D151" s="1501"/>
      <c r="E151" s="1501"/>
      <c r="F151" s="1501"/>
      <c r="G151" s="119">
        <v>110</v>
      </c>
      <c r="H151" s="172">
        <v>2166</v>
      </c>
      <c r="I151" s="564"/>
      <c r="J151" s="6"/>
    </row>
    <row r="152" spans="1:10" ht="15" customHeight="1">
      <c r="A152" s="110">
        <v>92</v>
      </c>
      <c r="B152" s="569" t="s">
        <v>382</v>
      </c>
      <c r="C152" s="1501" t="s">
        <v>673</v>
      </c>
      <c r="D152" s="1501"/>
      <c r="E152" s="1501"/>
      <c r="F152" s="1501"/>
      <c r="G152" s="119">
        <v>13326</v>
      </c>
      <c r="H152" s="172">
        <v>11250</v>
      </c>
      <c r="I152" s="564"/>
      <c r="J152" s="6"/>
    </row>
    <row r="153" spans="1:10" ht="15">
      <c r="A153" s="110">
        <v>93</v>
      </c>
      <c r="B153" s="569" t="s">
        <v>381</v>
      </c>
      <c r="C153" s="1501" t="s">
        <v>672</v>
      </c>
      <c r="D153" s="1501"/>
      <c r="E153" s="1501"/>
      <c r="F153" s="1501"/>
      <c r="G153" s="119">
        <v>0</v>
      </c>
      <c r="H153" s="172">
        <v>0</v>
      </c>
      <c r="I153" s="564"/>
      <c r="J153" s="6"/>
    </row>
    <row r="154" spans="1:10" ht="15" customHeight="1">
      <c r="A154" s="208">
        <v>94</v>
      </c>
      <c r="B154" s="569" t="s">
        <v>380</v>
      </c>
      <c r="C154" s="1501" t="s">
        <v>671</v>
      </c>
      <c r="D154" s="1501"/>
      <c r="E154" s="1501"/>
      <c r="F154" s="1501"/>
      <c r="G154" s="119">
        <v>19016</v>
      </c>
      <c r="H154" s="172">
        <v>26736</v>
      </c>
      <c r="I154" s="564"/>
      <c r="J154" s="6"/>
    </row>
    <row r="155" spans="1:10" s="26" customFormat="1" ht="15" customHeight="1">
      <c r="A155" s="110">
        <v>95</v>
      </c>
      <c r="B155" s="569">
        <v>24.1</v>
      </c>
      <c r="C155" s="1501" t="s">
        <v>670</v>
      </c>
      <c r="D155" s="1501"/>
      <c r="E155" s="1501"/>
      <c r="F155" s="1501"/>
      <c r="G155" s="119">
        <v>0</v>
      </c>
      <c r="H155" s="172">
        <v>0</v>
      </c>
      <c r="I155" s="568"/>
      <c r="J155" s="240"/>
    </row>
    <row r="156" spans="1:10" s="26" customFormat="1" ht="12.75" customHeight="1">
      <c r="A156" s="110">
        <v>96</v>
      </c>
      <c r="B156" s="569">
        <v>24.2</v>
      </c>
      <c r="C156" s="1514" t="s">
        <v>669</v>
      </c>
      <c r="D156" s="1514"/>
      <c r="E156" s="1514"/>
      <c r="F156" s="1514"/>
      <c r="G156" s="119">
        <v>0</v>
      </c>
      <c r="H156" s="172">
        <v>0</v>
      </c>
      <c r="I156" s="568"/>
      <c r="J156" s="240"/>
    </row>
    <row r="157" spans="1:10" s="26" customFormat="1" ht="12.75" customHeight="1">
      <c r="A157" s="208">
        <v>97</v>
      </c>
      <c r="B157" s="270" t="s">
        <v>668</v>
      </c>
      <c r="C157" s="1506" t="s">
        <v>667</v>
      </c>
      <c r="D157" s="1506"/>
      <c r="E157" s="1506"/>
      <c r="F157" s="1506"/>
      <c r="G157" s="121">
        <f>SUM(G151:G156)</f>
        <v>32452</v>
      </c>
      <c r="H157" s="567">
        <f>SUM(H151:H156)</f>
        <v>40152</v>
      </c>
      <c r="I157" s="568"/>
      <c r="J157" s="240"/>
    </row>
    <row r="158" spans="1:10" ht="15" customHeight="1">
      <c r="A158" s="110">
        <v>98</v>
      </c>
      <c r="B158" s="270" t="s">
        <v>666</v>
      </c>
      <c r="C158" s="1506" t="s">
        <v>665</v>
      </c>
      <c r="D158" s="1506"/>
      <c r="E158" s="1506"/>
      <c r="F158" s="1506"/>
      <c r="G158" s="121">
        <f>G157+G150+G139</f>
        <v>592053</v>
      </c>
      <c r="H158" s="567">
        <f>H157+H150+H139</f>
        <v>570088</v>
      </c>
      <c r="I158" s="564"/>
      <c r="J158" s="6"/>
    </row>
    <row r="159" spans="1:10" ht="15" customHeight="1" thickBot="1">
      <c r="A159" s="110">
        <v>99</v>
      </c>
      <c r="B159" s="566"/>
      <c r="C159" s="1508" t="s">
        <v>664</v>
      </c>
      <c r="D159" s="1508"/>
      <c r="E159" s="1508"/>
      <c r="F159" s="1508"/>
      <c r="G159" s="114">
        <f>G118+G134+G158</f>
        <v>2922855</v>
      </c>
      <c r="H159" s="565">
        <f>H118+H134+H158</f>
        <v>2933231</v>
      </c>
      <c r="I159" s="564"/>
      <c r="J159" s="6"/>
    </row>
    <row r="160" spans="2:10" ht="15">
      <c r="B160" s="563"/>
      <c r="C160" s="563"/>
      <c r="D160" s="563"/>
      <c r="E160" s="563"/>
      <c r="F160" s="563"/>
      <c r="G160" s="563"/>
      <c r="H160" s="474"/>
      <c r="I160" s="564"/>
      <c r="J160" s="6"/>
    </row>
    <row r="161" spans="8:9" ht="15">
      <c r="H161" s="474"/>
      <c r="I161" s="563"/>
    </row>
    <row r="162" ht="12.75">
      <c r="H162" s="474"/>
    </row>
  </sheetData>
  <sheetProtection/>
  <mergeCells count="120">
    <mergeCell ref="A59:A61"/>
    <mergeCell ref="A7:A9"/>
    <mergeCell ref="C112:F112"/>
    <mergeCell ref="B111:C111"/>
    <mergeCell ref="A112:A114"/>
    <mergeCell ref="B113:B114"/>
    <mergeCell ref="C40:F40"/>
    <mergeCell ref="C43:F43"/>
    <mergeCell ref="C44:F44"/>
    <mergeCell ref="C74:F74"/>
    <mergeCell ref="B6:D6"/>
    <mergeCell ref="C7:F7"/>
    <mergeCell ref="F1:H1"/>
    <mergeCell ref="C153:F153"/>
    <mergeCell ref="C146:F146"/>
    <mergeCell ref="C132:F132"/>
    <mergeCell ref="C133:F133"/>
    <mergeCell ref="C134:F134"/>
    <mergeCell ref="C129:F129"/>
    <mergeCell ref="B110:H110"/>
    <mergeCell ref="C141:F141"/>
    <mergeCell ref="C142:F142"/>
    <mergeCell ref="C143:F143"/>
    <mergeCell ref="C147:F147"/>
    <mergeCell ref="C144:F144"/>
    <mergeCell ref="C145:F145"/>
    <mergeCell ref="C159:F159"/>
    <mergeCell ref="C155:F155"/>
    <mergeCell ref="C156:F156"/>
    <mergeCell ref="C157:F157"/>
    <mergeCell ref="C158:F158"/>
    <mergeCell ref="C150:F150"/>
    <mergeCell ref="C151:F151"/>
    <mergeCell ref="C152:F152"/>
    <mergeCell ref="C154:F154"/>
    <mergeCell ref="C131:F131"/>
    <mergeCell ref="C123:F123"/>
    <mergeCell ref="C124:F124"/>
    <mergeCell ref="C149:F149"/>
    <mergeCell ref="C148:F148"/>
    <mergeCell ref="C137:F137"/>
    <mergeCell ref="C138:F138"/>
    <mergeCell ref="C139:F139"/>
    <mergeCell ref="C135:F135"/>
    <mergeCell ref="C140:F140"/>
    <mergeCell ref="C136:F136"/>
    <mergeCell ref="C119:F119"/>
    <mergeCell ref="C120:F120"/>
    <mergeCell ref="C127:F127"/>
    <mergeCell ref="C128:F128"/>
    <mergeCell ref="C122:F122"/>
    <mergeCell ref="C121:F121"/>
    <mergeCell ref="C125:F125"/>
    <mergeCell ref="C126:F126"/>
    <mergeCell ref="C130:F130"/>
    <mergeCell ref="C75:F75"/>
    <mergeCell ref="C113:F114"/>
    <mergeCell ref="C76:F76"/>
    <mergeCell ref="C117:F117"/>
    <mergeCell ref="C118:F118"/>
    <mergeCell ref="C115:F115"/>
    <mergeCell ref="C116:F116"/>
    <mergeCell ref="C45:F45"/>
    <mergeCell ref="C46:F46"/>
    <mergeCell ref="C72:F72"/>
    <mergeCell ref="C62:F62"/>
    <mergeCell ref="C63:F63"/>
    <mergeCell ref="C64:F64"/>
    <mergeCell ref="C65:F65"/>
    <mergeCell ref="B58:D58"/>
    <mergeCell ref="C69:F69"/>
    <mergeCell ref="C31:F31"/>
    <mergeCell ref="C32:F32"/>
    <mergeCell ref="C47:F47"/>
    <mergeCell ref="C48:F48"/>
    <mergeCell ref="C35:F35"/>
    <mergeCell ref="C41:F41"/>
    <mergeCell ref="C36:F36"/>
    <mergeCell ref="C37:F37"/>
    <mergeCell ref="C38:F38"/>
    <mergeCell ref="C39:F39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16:F16"/>
    <mergeCell ref="C21:F21"/>
    <mergeCell ref="C22:F22"/>
    <mergeCell ref="B8:B9"/>
    <mergeCell ref="C8:F9"/>
    <mergeCell ref="C17:F17"/>
    <mergeCell ref="C18:F18"/>
    <mergeCell ref="C19:F19"/>
    <mergeCell ref="C20:F20"/>
    <mergeCell ref="B3:H3"/>
    <mergeCell ref="B4:H4"/>
    <mergeCell ref="C42:F42"/>
    <mergeCell ref="C10:F10"/>
    <mergeCell ref="C11:F11"/>
    <mergeCell ref="C12:F12"/>
    <mergeCell ref="C13:F13"/>
    <mergeCell ref="C14:F14"/>
    <mergeCell ref="G6:H6"/>
    <mergeCell ref="C15:F15"/>
    <mergeCell ref="G58:H58"/>
    <mergeCell ref="B60:B61"/>
    <mergeCell ref="C60:F61"/>
    <mergeCell ref="C73:F73"/>
    <mergeCell ref="C66:F66"/>
    <mergeCell ref="C67:F67"/>
    <mergeCell ref="C68:F68"/>
    <mergeCell ref="C59:F59"/>
    <mergeCell ref="C70:F70"/>
    <mergeCell ref="C71:F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4.421875" style="0" customWidth="1"/>
    <col min="5" max="5" width="7.00390625" style="0" customWidth="1"/>
  </cols>
  <sheetData>
    <row r="1" spans="8:9" ht="12.75">
      <c r="H1" s="1096"/>
      <c r="I1" s="1096"/>
    </row>
    <row r="5" spans="1:9" ht="12.75" customHeight="1">
      <c r="A5" s="1097" t="s">
        <v>809</v>
      </c>
      <c r="B5" s="1097"/>
      <c r="C5" s="1097"/>
      <c r="D5" s="1097"/>
      <c r="E5" s="1097"/>
      <c r="F5" s="1097"/>
      <c r="G5" s="1097"/>
      <c r="H5" s="1097"/>
      <c r="I5" s="1097"/>
    </row>
    <row r="6" spans="1:9" ht="16.5" customHeight="1">
      <c r="A6" s="1097" t="s">
        <v>808</v>
      </c>
      <c r="B6" s="1097"/>
      <c r="C6" s="1097"/>
      <c r="D6" s="1097"/>
      <c r="E6" s="1097"/>
      <c r="F6" s="1097"/>
      <c r="G6" s="1097"/>
      <c r="H6" s="1097"/>
      <c r="I6" s="1097"/>
    </row>
    <row r="7" spans="1:9" ht="16.5" customHeight="1">
      <c r="A7" s="1097" t="s">
        <v>807</v>
      </c>
      <c r="B7" s="1097"/>
      <c r="C7" s="1097"/>
      <c r="D7" s="1097"/>
      <c r="E7" s="1097"/>
      <c r="F7" s="1097"/>
      <c r="G7" s="1097"/>
      <c r="H7" s="1097"/>
      <c r="I7" s="1097"/>
    </row>
    <row r="8" spans="1:9" ht="12.75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ht="12.75">
      <c r="A9" s="42"/>
      <c r="B9" s="42"/>
      <c r="C9" s="42"/>
      <c r="D9" s="42"/>
      <c r="E9" s="42"/>
      <c r="F9" s="42"/>
      <c r="G9" s="42"/>
      <c r="H9" s="42"/>
      <c r="I9" s="42"/>
    </row>
    <row r="10" spans="1:9" ht="13.5" thickBot="1">
      <c r="A10" s="42"/>
      <c r="B10" s="42"/>
      <c r="C10" s="42"/>
      <c r="D10" s="42"/>
      <c r="E10" s="42"/>
      <c r="F10" s="42"/>
      <c r="G10" s="42"/>
      <c r="H10" s="1524" t="s">
        <v>4</v>
      </c>
      <c r="I10" s="1524"/>
    </row>
    <row r="11" spans="1:10" ht="13.5" thickBot="1">
      <c r="A11" s="640"/>
      <c r="B11" s="639"/>
      <c r="C11" s="638" t="s">
        <v>41</v>
      </c>
      <c r="D11" s="637"/>
      <c r="E11" s="637"/>
      <c r="F11" s="636" t="s">
        <v>27</v>
      </c>
      <c r="G11" s="636" t="s">
        <v>28</v>
      </c>
      <c r="H11" s="635" t="s">
        <v>29</v>
      </c>
      <c r="I11" s="634" t="s">
        <v>30</v>
      </c>
      <c r="J11" s="169"/>
    </row>
    <row r="12" spans="1:9" ht="18" customHeight="1">
      <c r="A12" s="1528" t="s">
        <v>471</v>
      </c>
      <c r="B12" s="1530" t="s">
        <v>806</v>
      </c>
      <c r="C12" s="1531"/>
      <c r="D12" s="1531"/>
      <c r="E12" s="1532"/>
      <c r="F12" s="633" t="s">
        <v>0</v>
      </c>
      <c r="G12" s="633" t="s">
        <v>1</v>
      </c>
      <c r="H12" s="1536" t="s">
        <v>2</v>
      </c>
      <c r="I12" s="1537"/>
    </row>
    <row r="13" spans="1:9" ht="18" customHeight="1" thickBot="1">
      <c r="A13" s="1529"/>
      <c r="B13" s="1533"/>
      <c r="C13" s="1534"/>
      <c r="D13" s="1534"/>
      <c r="E13" s="1535"/>
      <c r="F13" s="1538" t="s">
        <v>3</v>
      </c>
      <c r="G13" s="1539"/>
      <c r="H13" s="632" t="s">
        <v>5</v>
      </c>
      <c r="I13" s="631" t="s">
        <v>591</v>
      </c>
    </row>
    <row r="14" spans="1:9" ht="12.75">
      <c r="A14" s="629">
        <v>1</v>
      </c>
      <c r="B14" s="1087" t="s">
        <v>805</v>
      </c>
      <c r="C14" s="1087"/>
      <c r="D14" s="1087"/>
      <c r="E14" s="1087"/>
      <c r="F14" s="173"/>
      <c r="G14" s="173"/>
      <c r="H14" s="173"/>
      <c r="I14" s="630"/>
    </row>
    <row r="15" spans="1:9" ht="12.75">
      <c r="A15" s="629">
        <v>2</v>
      </c>
      <c r="B15" s="1527" t="s">
        <v>804</v>
      </c>
      <c r="C15" s="1527"/>
      <c r="D15" s="1527"/>
      <c r="E15" s="1527"/>
      <c r="F15" s="628">
        <v>0</v>
      </c>
      <c r="G15" s="628">
        <v>0</v>
      </c>
      <c r="H15" s="628">
        <v>0</v>
      </c>
      <c r="I15" s="618">
        <v>0</v>
      </c>
    </row>
    <row r="16" spans="1:9" ht="12.75">
      <c r="A16" s="627">
        <v>3</v>
      </c>
      <c r="B16" s="1501" t="s">
        <v>803</v>
      </c>
      <c r="C16" s="1501"/>
      <c r="D16" s="1501"/>
      <c r="E16" s="1501"/>
      <c r="F16" s="622">
        <v>0</v>
      </c>
      <c r="G16" s="622">
        <v>0</v>
      </c>
      <c r="H16" s="622">
        <v>17</v>
      </c>
      <c r="I16" s="66">
        <v>0</v>
      </c>
    </row>
    <row r="17" spans="1:9" ht="12.75">
      <c r="A17" s="627">
        <v>4</v>
      </c>
      <c r="B17" s="1501" t="s">
        <v>802</v>
      </c>
      <c r="C17" s="1501"/>
      <c r="D17" s="1501"/>
      <c r="E17" s="1501"/>
      <c r="F17" s="622">
        <v>0</v>
      </c>
      <c r="G17" s="622">
        <v>0</v>
      </c>
      <c r="H17" s="622">
        <v>0</v>
      </c>
      <c r="I17" s="66">
        <v>0</v>
      </c>
    </row>
    <row r="18" spans="1:9" ht="12.75">
      <c r="A18" s="627">
        <v>5</v>
      </c>
      <c r="B18" s="1501" t="s">
        <v>801</v>
      </c>
      <c r="C18" s="1501"/>
      <c r="D18" s="1501"/>
      <c r="E18" s="1501"/>
      <c r="F18" s="622">
        <v>0</v>
      </c>
      <c r="G18" s="622">
        <v>0</v>
      </c>
      <c r="H18" s="622">
        <v>0</v>
      </c>
      <c r="I18" s="66">
        <v>0</v>
      </c>
    </row>
    <row r="19" spans="1:9" ht="12.75">
      <c r="A19" s="81">
        <v>6</v>
      </c>
      <c r="B19" s="1525" t="s">
        <v>800</v>
      </c>
      <c r="C19" s="1525"/>
      <c r="D19" s="1525"/>
      <c r="E19" s="1525"/>
      <c r="F19" s="622">
        <v>0</v>
      </c>
      <c r="G19" s="622">
        <v>216</v>
      </c>
      <c r="H19" s="622">
        <v>216</v>
      </c>
      <c r="I19" s="618">
        <f>(H19/G19)*100</f>
        <v>100</v>
      </c>
    </row>
    <row r="20" spans="1:9" ht="12.75">
      <c r="A20" s="81">
        <v>7</v>
      </c>
      <c r="B20" s="1527" t="s">
        <v>497</v>
      </c>
      <c r="C20" s="1527"/>
      <c r="D20" s="1527"/>
      <c r="E20" s="1527"/>
      <c r="F20" s="622">
        <v>0</v>
      </c>
      <c r="G20" s="622">
        <v>0</v>
      </c>
      <c r="H20" s="622">
        <v>0</v>
      </c>
      <c r="I20" s="618">
        <v>0</v>
      </c>
    </row>
    <row r="21" spans="1:9" ht="12.75">
      <c r="A21" s="81">
        <v>8</v>
      </c>
      <c r="B21" s="1525" t="s">
        <v>799</v>
      </c>
      <c r="C21" s="1525"/>
      <c r="D21" s="1525"/>
      <c r="E21" s="1525"/>
      <c r="F21" s="622">
        <v>0</v>
      </c>
      <c r="G21" s="622">
        <v>0</v>
      </c>
      <c r="H21" s="622">
        <v>0</v>
      </c>
      <c r="I21" s="618">
        <v>0</v>
      </c>
    </row>
    <row r="22" spans="1:9" ht="12.75">
      <c r="A22" s="81">
        <v>9</v>
      </c>
      <c r="B22" s="1155" t="s">
        <v>798</v>
      </c>
      <c r="C22" s="1166"/>
      <c r="D22" s="1166"/>
      <c r="E22" s="1167"/>
      <c r="F22" s="622">
        <v>0</v>
      </c>
      <c r="G22" s="622">
        <v>200</v>
      </c>
      <c r="H22" s="622">
        <v>200</v>
      </c>
      <c r="I22" s="618">
        <v>0</v>
      </c>
    </row>
    <row r="23" spans="1:9" ht="12.75">
      <c r="A23" s="81">
        <v>10</v>
      </c>
      <c r="B23" s="1525" t="s">
        <v>797</v>
      </c>
      <c r="C23" s="1525"/>
      <c r="D23" s="1525"/>
      <c r="E23" s="1525"/>
      <c r="F23" s="622">
        <v>0</v>
      </c>
      <c r="G23" s="622">
        <v>0</v>
      </c>
      <c r="H23" s="622">
        <v>0</v>
      </c>
      <c r="I23" s="618">
        <v>0</v>
      </c>
    </row>
    <row r="24" spans="1:9" ht="12.75">
      <c r="A24" s="81">
        <v>11</v>
      </c>
      <c r="B24" s="1527" t="s">
        <v>796</v>
      </c>
      <c r="C24" s="1527"/>
      <c r="D24" s="1527"/>
      <c r="E24" s="1527"/>
      <c r="F24" s="622">
        <v>0</v>
      </c>
      <c r="G24" s="622">
        <v>0</v>
      </c>
      <c r="H24" s="622">
        <v>0</v>
      </c>
      <c r="I24" s="618">
        <v>0</v>
      </c>
    </row>
    <row r="25" spans="1:12" ht="12.75">
      <c r="A25" s="81">
        <v>12</v>
      </c>
      <c r="B25" s="1525" t="s">
        <v>795</v>
      </c>
      <c r="C25" s="1525"/>
      <c r="D25" s="1525"/>
      <c r="E25" s="1525"/>
      <c r="F25" s="622">
        <v>0</v>
      </c>
      <c r="G25" s="622">
        <v>0</v>
      </c>
      <c r="H25" s="622">
        <v>0</v>
      </c>
      <c r="I25" s="618">
        <v>0</v>
      </c>
      <c r="L25" s="626"/>
    </row>
    <row r="26" spans="1:9" s="26" customFormat="1" ht="13.5" thickBot="1">
      <c r="A26" s="82">
        <v>13</v>
      </c>
      <c r="B26" s="1526" t="s">
        <v>794</v>
      </c>
      <c r="C26" s="1526"/>
      <c r="D26" s="1526"/>
      <c r="E26" s="1526"/>
      <c r="F26" s="625">
        <v>555</v>
      </c>
      <c r="G26" s="625">
        <v>831</v>
      </c>
      <c r="H26" s="625">
        <v>831</v>
      </c>
      <c r="I26" s="617">
        <f>(H26/G26)*100</f>
        <v>100</v>
      </c>
    </row>
    <row r="27" spans="1:9" ht="13.5" thickBot="1">
      <c r="A27" s="616">
        <v>14</v>
      </c>
      <c r="B27" s="1336" t="s">
        <v>793</v>
      </c>
      <c r="C27" s="1336"/>
      <c r="D27" s="1336"/>
      <c r="E27" s="1336"/>
      <c r="F27" s="427">
        <v>555</v>
      </c>
      <c r="G27" s="427">
        <f>SUM(G16:G26)</f>
        <v>1247</v>
      </c>
      <c r="H27" s="427">
        <f>SUM(H16:H26)</f>
        <v>1264</v>
      </c>
      <c r="I27" s="615">
        <f>(H27/G27)*100</f>
        <v>101.36327185244586</v>
      </c>
    </row>
    <row r="28" spans="1:9" ht="12.75">
      <c r="A28" s="85">
        <v>15</v>
      </c>
      <c r="B28" s="1540" t="s">
        <v>792</v>
      </c>
      <c r="C28" s="1540"/>
      <c r="D28" s="1540"/>
      <c r="E28" s="1540"/>
      <c r="F28" s="624"/>
      <c r="G28" s="624"/>
      <c r="H28" s="624"/>
      <c r="I28" s="623"/>
    </row>
    <row r="29" spans="1:9" ht="12.75">
      <c r="A29" s="81">
        <v>16</v>
      </c>
      <c r="B29" s="1527" t="s">
        <v>791</v>
      </c>
      <c r="C29" s="1527"/>
      <c r="D29" s="1527"/>
      <c r="E29" s="1527"/>
      <c r="F29" s="144">
        <v>0</v>
      </c>
      <c r="G29" s="144">
        <v>0</v>
      </c>
      <c r="H29" s="144">
        <v>0</v>
      </c>
      <c r="I29" s="66">
        <v>0</v>
      </c>
    </row>
    <row r="30" spans="1:9" ht="12.75">
      <c r="A30" s="81">
        <v>17</v>
      </c>
      <c r="B30" s="1051" t="s">
        <v>430</v>
      </c>
      <c r="C30" s="1051"/>
      <c r="D30" s="1051"/>
      <c r="E30" s="1051"/>
      <c r="F30" s="144">
        <v>0</v>
      </c>
      <c r="G30" s="144">
        <v>0</v>
      </c>
      <c r="H30" s="144">
        <v>0</v>
      </c>
      <c r="I30" s="66">
        <v>0</v>
      </c>
    </row>
    <row r="31" spans="1:9" ht="12.75">
      <c r="A31" s="81">
        <v>18</v>
      </c>
      <c r="B31" s="1051" t="s">
        <v>790</v>
      </c>
      <c r="C31" s="1051"/>
      <c r="D31" s="1051"/>
      <c r="E31" s="1051"/>
      <c r="F31" s="144">
        <v>0</v>
      </c>
      <c r="G31" s="144">
        <v>0</v>
      </c>
      <c r="H31" s="144">
        <v>0</v>
      </c>
      <c r="I31" s="66">
        <v>0</v>
      </c>
    </row>
    <row r="32" spans="1:9" ht="12.75">
      <c r="A32" s="81">
        <v>19</v>
      </c>
      <c r="B32" s="1051" t="s">
        <v>392</v>
      </c>
      <c r="C32" s="1051"/>
      <c r="D32" s="1051"/>
      <c r="E32" s="1051"/>
      <c r="F32" s="622">
        <v>330</v>
      </c>
      <c r="G32" s="622">
        <v>660</v>
      </c>
      <c r="H32" s="622">
        <v>578</v>
      </c>
      <c r="I32" s="618">
        <f>(H32/G32)*100</f>
        <v>87.57575757575758</v>
      </c>
    </row>
    <row r="33" spans="1:9" ht="12.75">
      <c r="A33" s="81">
        <v>20</v>
      </c>
      <c r="B33" s="1155" t="s">
        <v>789</v>
      </c>
      <c r="C33" s="1042"/>
      <c r="D33" s="1042"/>
      <c r="E33" s="1043"/>
      <c r="F33" s="622">
        <v>25</v>
      </c>
      <c r="G33" s="622">
        <v>0</v>
      </c>
      <c r="H33" s="622">
        <v>0</v>
      </c>
      <c r="I33" s="618">
        <v>0</v>
      </c>
    </row>
    <row r="34" spans="1:9" ht="12.75">
      <c r="A34" s="81">
        <v>21</v>
      </c>
      <c r="B34" s="1527" t="s">
        <v>87</v>
      </c>
      <c r="C34" s="1527"/>
      <c r="D34" s="1527"/>
      <c r="E34" s="1527"/>
      <c r="F34" s="622">
        <v>0</v>
      </c>
      <c r="G34" s="622">
        <v>0</v>
      </c>
      <c r="H34" s="622">
        <v>0</v>
      </c>
      <c r="I34" s="618">
        <v>0</v>
      </c>
    </row>
    <row r="35" spans="1:9" ht="12.75">
      <c r="A35" s="81">
        <v>22</v>
      </c>
      <c r="B35" s="1051" t="s">
        <v>788</v>
      </c>
      <c r="C35" s="1051"/>
      <c r="D35" s="1051"/>
      <c r="E35" s="1051"/>
      <c r="F35" s="622">
        <v>0</v>
      </c>
      <c r="G35" s="622">
        <v>328</v>
      </c>
      <c r="H35" s="622">
        <v>328</v>
      </c>
      <c r="I35" s="618">
        <v>0</v>
      </c>
    </row>
    <row r="36" spans="1:9" ht="12.75">
      <c r="A36" s="81">
        <v>23</v>
      </c>
      <c r="B36" s="1155" t="s">
        <v>787</v>
      </c>
      <c r="C36" s="1042"/>
      <c r="D36" s="1042"/>
      <c r="E36" s="1043"/>
      <c r="F36" s="622">
        <v>200</v>
      </c>
      <c r="G36" s="622">
        <v>0</v>
      </c>
      <c r="H36" s="622">
        <v>0</v>
      </c>
      <c r="I36" s="618">
        <v>0</v>
      </c>
    </row>
    <row r="37" spans="1:9" ht="12.75">
      <c r="A37" s="81">
        <v>24</v>
      </c>
      <c r="B37" s="1155" t="s">
        <v>69</v>
      </c>
      <c r="C37" s="1042"/>
      <c r="D37" s="1042"/>
      <c r="E37" s="1043"/>
      <c r="F37" s="622">
        <v>0</v>
      </c>
      <c r="G37" s="622">
        <v>259</v>
      </c>
      <c r="H37" s="622">
        <v>0</v>
      </c>
      <c r="I37" s="618">
        <f>H37/G37*100</f>
        <v>0</v>
      </c>
    </row>
    <row r="38" spans="1:9" ht="12.75">
      <c r="A38" s="81">
        <v>25</v>
      </c>
      <c r="B38" s="1051" t="s">
        <v>534</v>
      </c>
      <c r="C38" s="1051"/>
      <c r="D38" s="1051"/>
      <c r="E38" s="1051"/>
      <c r="F38" s="622">
        <v>0</v>
      </c>
      <c r="G38" s="622">
        <v>0</v>
      </c>
      <c r="H38" s="622">
        <v>0</v>
      </c>
      <c r="I38" s="618">
        <v>0</v>
      </c>
    </row>
    <row r="39" spans="1:9" s="26" customFormat="1" ht="12.75">
      <c r="A39" s="81">
        <v>26</v>
      </c>
      <c r="B39" s="1527" t="s">
        <v>786</v>
      </c>
      <c r="C39" s="1527"/>
      <c r="D39" s="1527"/>
      <c r="E39" s="1527"/>
      <c r="F39" s="622">
        <v>0</v>
      </c>
      <c r="G39" s="622">
        <v>0</v>
      </c>
      <c r="H39" s="622">
        <v>0</v>
      </c>
      <c r="I39" s="618">
        <v>0</v>
      </c>
    </row>
    <row r="40" spans="1:9" ht="12.75">
      <c r="A40" s="621">
        <v>27</v>
      </c>
      <c r="B40" s="1525" t="s">
        <v>785</v>
      </c>
      <c r="C40" s="1525"/>
      <c r="D40" s="1525"/>
      <c r="E40" s="1525"/>
      <c r="F40" s="619">
        <v>0</v>
      </c>
      <c r="G40" s="619">
        <v>0</v>
      </c>
      <c r="H40" s="619">
        <v>0</v>
      </c>
      <c r="I40" s="618">
        <v>0</v>
      </c>
    </row>
    <row r="41" spans="1:9" ht="12.75">
      <c r="A41" s="81">
        <v>28</v>
      </c>
      <c r="B41" s="1525" t="s">
        <v>784</v>
      </c>
      <c r="C41" s="1525"/>
      <c r="D41" s="1525"/>
      <c r="E41" s="1525"/>
      <c r="F41" s="619">
        <v>0</v>
      </c>
      <c r="G41" s="619">
        <v>0</v>
      </c>
      <c r="H41" s="619">
        <v>0</v>
      </c>
      <c r="I41" s="618">
        <v>0</v>
      </c>
    </row>
    <row r="42" spans="1:9" ht="13.5" thickBot="1">
      <c r="A42" s="82">
        <v>29</v>
      </c>
      <c r="B42" s="1526" t="s">
        <v>783</v>
      </c>
      <c r="C42" s="1526"/>
      <c r="D42" s="1526"/>
      <c r="E42" s="1526"/>
      <c r="F42" s="136">
        <v>0</v>
      </c>
      <c r="G42" s="136">
        <v>0</v>
      </c>
      <c r="H42" s="136">
        <v>0</v>
      </c>
      <c r="I42" s="617">
        <v>0</v>
      </c>
    </row>
    <row r="43" spans="1:9" ht="13.5" thickBot="1">
      <c r="A43" s="616">
        <v>30</v>
      </c>
      <c r="B43" s="1336" t="s">
        <v>782</v>
      </c>
      <c r="C43" s="1336"/>
      <c r="D43" s="1336"/>
      <c r="E43" s="1336"/>
      <c r="F43" s="427">
        <f>SUM(F30:F42)</f>
        <v>555</v>
      </c>
      <c r="G43" s="427">
        <f>SUM(G30:G42)</f>
        <v>1247</v>
      </c>
      <c r="H43" s="427">
        <f>SUM(H32:H42)</f>
        <v>906</v>
      </c>
      <c r="I43" s="615">
        <f>(H43/G43)*100</f>
        <v>72.65437048917401</v>
      </c>
    </row>
    <row r="54" ht="12.75">
      <c r="J54" s="112"/>
    </row>
    <row r="58" ht="12.75">
      <c r="A58" s="112"/>
    </row>
  </sheetData>
  <sheetProtection/>
  <mergeCells count="39">
    <mergeCell ref="B15:E15"/>
    <mergeCell ref="B29:E29"/>
    <mergeCell ref="B22:E22"/>
    <mergeCell ref="B28:E28"/>
    <mergeCell ref="B32:E32"/>
    <mergeCell ref="B16:E16"/>
    <mergeCell ref="B17:E17"/>
    <mergeCell ref="B21:E21"/>
    <mergeCell ref="B23:E23"/>
    <mergeCell ref="B14:E14"/>
    <mergeCell ref="A12:A13"/>
    <mergeCell ref="B12:E13"/>
    <mergeCell ref="H12:I12"/>
    <mergeCell ref="F13:G13"/>
    <mergeCell ref="B31:E31"/>
    <mergeCell ref="B30:E30"/>
    <mergeCell ref="B25:E25"/>
    <mergeCell ref="B26:E26"/>
    <mergeCell ref="B27:E27"/>
    <mergeCell ref="B39:E39"/>
    <mergeCell ref="B36:E36"/>
    <mergeCell ref="H1:I1"/>
    <mergeCell ref="A5:I5"/>
    <mergeCell ref="A6:I6"/>
    <mergeCell ref="A7:I7"/>
    <mergeCell ref="B24:E24"/>
    <mergeCell ref="B18:E18"/>
    <mergeCell ref="B19:E19"/>
    <mergeCell ref="B20:E20"/>
    <mergeCell ref="B33:E33"/>
    <mergeCell ref="B37:E37"/>
    <mergeCell ref="H10:I10"/>
    <mergeCell ref="B41:E41"/>
    <mergeCell ref="B42:E42"/>
    <mergeCell ref="B43:E43"/>
    <mergeCell ref="B34:E34"/>
    <mergeCell ref="B35:E35"/>
    <mergeCell ref="B38:E38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3.7109375" style="0" customWidth="1"/>
    <col min="3" max="3" width="8.421875" style="0" customWidth="1"/>
    <col min="4" max="4" width="7.8515625" style="0" customWidth="1"/>
  </cols>
  <sheetData>
    <row r="1" spans="11:14" ht="12.75">
      <c r="K1" s="1096"/>
      <c r="L1" s="1096"/>
      <c r="M1" s="1096"/>
      <c r="N1" s="1096"/>
    </row>
    <row r="2" spans="11:14" ht="12.75">
      <c r="K2" s="99"/>
      <c r="L2" s="99"/>
      <c r="M2" s="99"/>
      <c r="N2" s="99"/>
    </row>
    <row r="3" spans="11:14" ht="12.75">
      <c r="K3" s="99"/>
      <c r="L3" s="99"/>
      <c r="M3" s="99"/>
      <c r="N3" s="99"/>
    </row>
    <row r="4" spans="11:14" ht="12.75">
      <c r="K4" s="99"/>
      <c r="L4" s="99"/>
      <c r="M4" s="99"/>
      <c r="N4" s="99"/>
    </row>
    <row r="5" spans="1:14" ht="12.75" customHeight="1">
      <c r="A5" s="1097" t="s">
        <v>833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</row>
    <row r="6" spans="1:14" ht="16.5" customHeight="1">
      <c r="A6" s="1097" t="s">
        <v>832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</row>
    <row r="7" spans="2:14" ht="12.7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2:14" ht="12.7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3:14" ht="12.75">
      <c r="M9" s="1381" t="s">
        <v>4</v>
      </c>
      <c r="N9" s="1381"/>
    </row>
    <row r="10" spans="1:15" ht="12.75">
      <c r="A10" s="659"/>
      <c r="B10" s="1284" t="s">
        <v>41</v>
      </c>
      <c r="C10" s="1195"/>
      <c r="D10" s="1285"/>
      <c r="E10" s="294" t="s">
        <v>27</v>
      </c>
      <c r="F10" s="208" t="s">
        <v>28</v>
      </c>
      <c r="G10" s="210" t="s">
        <v>29</v>
      </c>
      <c r="H10" s="294" t="s">
        <v>30</v>
      </c>
      <c r="I10" s="208" t="s">
        <v>439</v>
      </c>
      <c r="J10" s="210" t="s">
        <v>438</v>
      </c>
      <c r="K10" s="294" t="s">
        <v>437</v>
      </c>
      <c r="L10" s="208" t="s">
        <v>436</v>
      </c>
      <c r="M10" s="210" t="s">
        <v>435</v>
      </c>
      <c r="N10" s="271" t="s">
        <v>434</v>
      </c>
      <c r="O10" s="169"/>
    </row>
    <row r="11" spans="1:14" ht="15.75" customHeight="1" thickBot="1">
      <c r="A11" s="1561" t="s">
        <v>831</v>
      </c>
      <c r="B11" s="1544" t="s">
        <v>830</v>
      </c>
      <c r="C11" s="1545"/>
      <c r="D11" s="1541"/>
      <c r="E11" s="1551" t="s">
        <v>829</v>
      </c>
      <c r="F11" s="1552"/>
      <c r="G11" s="1553"/>
      <c r="H11" s="1563" t="s">
        <v>828</v>
      </c>
      <c r="I11" s="1552"/>
      <c r="J11" s="1564"/>
      <c r="K11" s="1551" t="s">
        <v>827</v>
      </c>
      <c r="L11" s="1552"/>
      <c r="M11" s="1553"/>
      <c r="N11" s="669" t="s">
        <v>496</v>
      </c>
    </row>
    <row r="12" spans="1:14" ht="12.75">
      <c r="A12" s="1561"/>
      <c r="B12" s="1546"/>
      <c r="C12" s="1547"/>
      <c r="D12" s="1548"/>
      <c r="E12" s="1544" t="s">
        <v>825</v>
      </c>
      <c r="F12" s="1156" t="s">
        <v>824</v>
      </c>
      <c r="G12" s="1541" t="s">
        <v>826</v>
      </c>
      <c r="H12" s="1544" t="s">
        <v>825</v>
      </c>
      <c r="I12" s="1545" t="s">
        <v>824</v>
      </c>
      <c r="J12" s="1251" t="s">
        <v>823</v>
      </c>
      <c r="K12" s="1544" t="s">
        <v>825</v>
      </c>
      <c r="L12" s="1545" t="s">
        <v>824</v>
      </c>
      <c r="M12" s="1541" t="s">
        <v>823</v>
      </c>
      <c r="N12" s="1555" t="s">
        <v>822</v>
      </c>
    </row>
    <row r="13" spans="1:14" ht="13.5" thickBot="1">
      <c r="A13" s="1562"/>
      <c r="B13" s="1549"/>
      <c r="C13" s="1550"/>
      <c r="D13" s="1542"/>
      <c r="E13" s="1549"/>
      <c r="F13" s="1104"/>
      <c r="G13" s="1542"/>
      <c r="H13" s="1549"/>
      <c r="I13" s="1550"/>
      <c r="J13" s="1557"/>
      <c r="K13" s="1549"/>
      <c r="L13" s="1550"/>
      <c r="M13" s="1542"/>
      <c r="N13" s="1556"/>
    </row>
    <row r="14" spans="1:14" ht="12.75">
      <c r="A14" s="666">
        <v>1</v>
      </c>
      <c r="B14" s="1558" t="s">
        <v>821</v>
      </c>
      <c r="C14" s="1344"/>
      <c r="D14" s="1345"/>
      <c r="E14" s="663"/>
      <c r="F14" s="624"/>
      <c r="G14" s="662"/>
      <c r="H14" s="663"/>
      <c r="I14" s="665">
        <v>1</v>
      </c>
      <c r="J14" s="664">
        <v>420</v>
      </c>
      <c r="K14" s="663"/>
      <c r="L14" s="624"/>
      <c r="M14" s="662"/>
      <c r="N14" s="661">
        <f aca="true" t="shared" si="0" ref="N14:N21">G14+J14+M14</f>
        <v>420</v>
      </c>
    </row>
    <row r="15" spans="1:14" ht="12.75">
      <c r="A15" s="660">
        <v>2</v>
      </c>
      <c r="B15" s="1055" t="s">
        <v>820</v>
      </c>
      <c r="C15" s="1051"/>
      <c r="D15" s="1240"/>
      <c r="E15" s="290"/>
      <c r="F15" s="255"/>
      <c r="G15" s="148"/>
      <c r="H15" s="290"/>
      <c r="I15" s="255"/>
      <c r="J15" s="659"/>
      <c r="K15" s="290"/>
      <c r="L15" s="255"/>
      <c r="M15" s="148"/>
      <c r="N15" s="656">
        <f t="shared" si="0"/>
        <v>0</v>
      </c>
    </row>
    <row r="16" spans="1:14" ht="12.75">
      <c r="A16" s="660">
        <v>3</v>
      </c>
      <c r="B16" s="1055" t="s">
        <v>819</v>
      </c>
      <c r="C16" s="1051"/>
      <c r="D16" s="1240"/>
      <c r="E16" s="290"/>
      <c r="F16" s="657">
        <v>1</v>
      </c>
      <c r="G16" s="148">
        <v>890</v>
      </c>
      <c r="H16" s="290"/>
      <c r="I16" s="255"/>
      <c r="J16" s="659"/>
      <c r="K16" s="290"/>
      <c r="L16" s="255"/>
      <c r="M16" s="148"/>
      <c r="N16" s="656">
        <f t="shared" si="0"/>
        <v>890</v>
      </c>
    </row>
    <row r="17" spans="1:14" ht="12.75">
      <c r="A17" s="660">
        <v>4</v>
      </c>
      <c r="B17" s="1041" t="s">
        <v>818</v>
      </c>
      <c r="C17" s="1042"/>
      <c r="D17" s="1239"/>
      <c r="E17" s="290"/>
      <c r="F17" s="255"/>
      <c r="G17" s="148"/>
      <c r="H17" s="290"/>
      <c r="I17" s="255"/>
      <c r="J17" s="659"/>
      <c r="K17" s="658" t="s">
        <v>817</v>
      </c>
      <c r="L17" s="657">
        <v>0.5</v>
      </c>
      <c r="M17" s="148">
        <v>2520</v>
      </c>
      <c r="N17" s="656">
        <f t="shared" si="0"/>
        <v>2520</v>
      </c>
    </row>
    <row r="18" spans="1:14" ht="12.75">
      <c r="A18" s="655">
        <v>5</v>
      </c>
      <c r="B18" s="1047" t="s">
        <v>816</v>
      </c>
      <c r="C18" s="1048"/>
      <c r="D18" s="1372"/>
      <c r="E18" s="652"/>
      <c r="F18" s="136"/>
      <c r="G18" s="254"/>
      <c r="H18" s="652"/>
      <c r="I18" s="136"/>
      <c r="J18" s="651"/>
      <c r="K18" s="650"/>
      <c r="L18" s="649">
        <v>1</v>
      </c>
      <c r="M18" s="254">
        <v>805</v>
      </c>
      <c r="N18" s="647">
        <f t="shared" si="0"/>
        <v>805</v>
      </c>
    </row>
    <row r="19" spans="1:14" ht="12.75">
      <c r="A19" s="654">
        <v>6</v>
      </c>
      <c r="B19" s="1041" t="s">
        <v>815</v>
      </c>
      <c r="C19" s="1042"/>
      <c r="D19" s="1239"/>
      <c r="E19" s="652"/>
      <c r="F19" s="136"/>
      <c r="G19" s="651"/>
      <c r="H19" s="652"/>
      <c r="I19" s="136"/>
      <c r="J19" s="651"/>
      <c r="K19" s="650"/>
      <c r="L19" s="649">
        <v>0.5</v>
      </c>
      <c r="M19" s="254">
        <v>772</v>
      </c>
      <c r="N19" s="647">
        <f t="shared" si="0"/>
        <v>772</v>
      </c>
    </row>
    <row r="20" spans="1:15" ht="13.5" thickBot="1">
      <c r="A20" s="653">
        <v>7</v>
      </c>
      <c r="B20" s="1047" t="s">
        <v>815</v>
      </c>
      <c r="C20" s="1048"/>
      <c r="D20" s="1372"/>
      <c r="E20" s="652"/>
      <c r="F20" s="136"/>
      <c r="G20" s="651"/>
      <c r="H20" s="652"/>
      <c r="I20" s="136"/>
      <c r="J20" s="651"/>
      <c r="K20" s="650"/>
      <c r="L20" s="649">
        <v>1</v>
      </c>
      <c r="M20" s="648">
        <v>4425</v>
      </c>
      <c r="N20" s="647">
        <f t="shared" si="0"/>
        <v>4425</v>
      </c>
      <c r="O20" s="169"/>
    </row>
    <row r="21" spans="1:14" ht="13.5" thickBot="1">
      <c r="A21" s="646">
        <v>8</v>
      </c>
      <c r="B21" s="1559" t="s">
        <v>814</v>
      </c>
      <c r="C21" s="1279"/>
      <c r="D21" s="1560"/>
      <c r="E21" s="644"/>
      <c r="F21" s="643"/>
      <c r="G21" s="642">
        <f>G14+G15+G16+G17+G18</f>
        <v>890</v>
      </c>
      <c r="H21" s="644"/>
      <c r="I21" s="643"/>
      <c r="J21" s="645"/>
      <c r="K21" s="644"/>
      <c r="L21" s="643"/>
      <c r="M21" s="642">
        <f>SUM(M17:M20)</f>
        <v>8522</v>
      </c>
      <c r="N21" s="641">
        <f t="shared" si="0"/>
        <v>9412</v>
      </c>
    </row>
    <row r="22" spans="7:9" ht="12" customHeight="1">
      <c r="G22" s="6"/>
      <c r="H22" s="6"/>
      <c r="I22" s="6"/>
    </row>
    <row r="23" spans="2:15" s="626" customFormat="1" ht="15" customHeight="1">
      <c r="B23" s="1543" t="s">
        <v>813</v>
      </c>
      <c r="C23" s="1543"/>
      <c r="D23" s="1543"/>
      <c r="E23" s="1543"/>
      <c r="F23" s="1543"/>
      <c r="G23" s="1543"/>
      <c r="H23" s="1543"/>
      <c r="I23" s="1543"/>
      <c r="J23" s="1543"/>
      <c r="K23" s="1543"/>
      <c r="L23" s="1543"/>
      <c r="M23" s="1543"/>
      <c r="N23" s="1543"/>
      <c r="O23" s="1543"/>
    </row>
    <row r="24" spans="2:14" s="626" customFormat="1" ht="12.75">
      <c r="B24" s="1543" t="s">
        <v>812</v>
      </c>
      <c r="C24" s="1543"/>
      <c r="D24" s="1543"/>
      <c r="E24" s="1543"/>
      <c r="F24" s="1543"/>
      <c r="G24" s="1543"/>
      <c r="H24" s="1543"/>
      <c r="I24" s="1543"/>
      <c r="J24" s="1543"/>
      <c r="K24" s="1543"/>
      <c r="L24" s="1543"/>
      <c r="M24" s="1543"/>
      <c r="N24" s="1543"/>
    </row>
    <row r="25" spans="2:14" s="626" customFormat="1" ht="12.75">
      <c r="B25" s="1543" t="s">
        <v>811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</row>
    <row r="26" spans="2:14" s="626" customFormat="1" ht="12.75">
      <c r="B26" s="1554" t="s">
        <v>810</v>
      </c>
      <c r="C26" s="1554"/>
      <c r="D26" s="1554"/>
      <c r="E26" s="1554"/>
      <c r="F26" s="1554"/>
      <c r="G26" s="1554"/>
      <c r="H26" s="1554"/>
      <c r="I26" s="1554"/>
      <c r="J26" s="1554"/>
      <c r="K26" s="1554"/>
      <c r="L26" s="1554"/>
      <c r="M26" s="1554"/>
      <c r="N26" s="1554"/>
    </row>
    <row r="28" spans="2:4" ht="12.75">
      <c r="B28" s="1158"/>
      <c r="C28" s="1158"/>
      <c r="D28" s="1158"/>
    </row>
  </sheetData>
  <sheetProtection/>
  <mergeCells count="33">
    <mergeCell ref="K1:N1"/>
    <mergeCell ref="M9:N9"/>
    <mergeCell ref="A5:N5"/>
    <mergeCell ref="A6:N6"/>
    <mergeCell ref="H12:H13"/>
    <mergeCell ref="K12:K13"/>
    <mergeCell ref="L12:L13"/>
    <mergeCell ref="A11:A13"/>
    <mergeCell ref="H11:J11"/>
    <mergeCell ref="K11:M11"/>
    <mergeCell ref="B28:D28"/>
    <mergeCell ref="B14:D14"/>
    <mergeCell ref="B15:D15"/>
    <mergeCell ref="B16:D16"/>
    <mergeCell ref="B21:D21"/>
    <mergeCell ref="B25:N25"/>
    <mergeCell ref="B26:N26"/>
    <mergeCell ref="B17:D17"/>
    <mergeCell ref="N12:N13"/>
    <mergeCell ref="B24:N24"/>
    <mergeCell ref="B20:D20"/>
    <mergeCell ref="B19:D19"/>
    <mergeCell ref="I12:I13"/>
    <mergeCell ref="G12:G13"/>
    <mergeCell ref="J12:J13"/>
    <mergeCell ref="M12:M13"/>
    <mergeCell ref="B10:D10"/>
    <mergeCell ref="B23:O23"/>
    <mergeCell ref="B18:D18"/>
    <mergeCell ref="F12:F13"/>
    <mergeCell ref="B11:D13"/>
    <mergeCell ref="E11:G11"/>
    <mergeCell ref="E12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M19" sqref="M19"/>
    </sheetView>
  </sheetViews>
  <sheetFormatPr defaultColWidth="9.140625" defaultRowHeight="12.75"/>
  <cols>
    <col min="1" max="1" width="3.8515625" style="0" customWidth="1"/>
    <col min="2" max="2" width="7.8515625" style="0" customWidth="1"/>
    <col min="3" max="3" width="24.7109375" style="0" customWidth="1"/>
    <col min="4" max="4" width="31.28125" style="0" customWidth="1"/>
    <col min="5" max="5" width="9.57421875" style="0" customWidth="1"/>
    <col min="6" max="6" width="8.7109375" style="0" customWidth="1"/>
    <col min="7" max="10" width="9.140625" style="0" hidden="1" customWidth="1"/>
    <col min="11" max="11" width="10.7109375" style="0" hidden="1" customWidth="1"/>
  </cols>
  <sheetData>
    <row r="1" spans="8:11" ht="12.75">
      <c r="H1" s="1096" t="s">
        <v>853</v>
      </c>
      <c r="I1" s="1096"/>
      <c r="J1" s="1096"/>
      <c r="K1" s="1096"/>
    </row>
    <row r="2" spans="5:6" ht="12.75">
      <c r="E2" s="1096"/>
      <c r="F2" s="1096"/>
    </row>
    <row r="5" spans="1:11" ht="17.25" customHeight="1">
      <c r="A5" s="1097" t="s">
        <v>852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</row>
    <row r="6" spans="1:11" ht="18.75" customHeight="1">
      <c r="A6" s="1097" t="s">
        <v>851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</row>
    <row r="7" spans="1:11" ht="16.5" customHeight="1">
      <c r="A7" s="1097" t="s">
        <v>850</v>
      </c>
      <c r="B7" s="1097"/>
      <c r="C7" s="1097"/>
      <c r="D7" s="1097"/>
      <c r="E7" s="1097"/>
      <c r="F7" s="1097"/>
      <c r="G7" s="1097"/>
      <c r="H7" s="1097"/>
      <c r="I7" s="1097"/>
      <c r="J7" s="1097"/>
      <c r="K7" s="1097"/>
    </row>
    <row r="8" spans="1:11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10" spans="5:6" ht="13.5" thickBot="1">
      <c r="E10" s="1580" t="s">
        <v>849</v>
      </c>
      <c r="F10" s="1580"/>
    </row>
    <row r="11" spans="1:11" s="562" customFormat="1" ht="13.5" customHeight="1" thickBot="1">
      <c r="A11" s="704"/>
      <c r="B11" s="1581" t="s">
        <v>41</v>
      </c>
      <c r="C11" s="1582"/>
      <c r="D11" s="703" t="s">
        <v>27</v>
      </c>
      <c r="E11" s="703" t="s">
        <v>28</v>
      </c>
      <c r="F11" s="702" t="s">
        <v>29</v>
      </c>
      <c r="I11" s="1579" t="s">
        <v>4</v>
      </c>
      <c r="J11" s="1579"/>
      <c r="K11" s="1579"/>
    </row>
    <row r="12" spans="1:11" ht="20.25" customHeight="1" thickTop="1">
      <c r="A12" s="1402" t="s">
        <v>831</v>
      </c>
      <c r="B12" s="1577" t="s">
        <v>7</v>
      </c>
      <c r="C12" s="1181"/>
      <c r="D12" s="1181" t="s">
        <v>5</v>
      </c>
      <c r="E12" s="373" t="s">
        <v>848</v>
      </c>
      <c r="F12" s="689" t="s">
        <v>847</v>
      </c>
      <c r="G12" s="701"/>
      <c r="H12" s="701"/>
      <c r="I12" s="701"/>
      <c r="J12" s="700"/>
      <c r="K12" s="1574" t="s">
        <v>496</v>
      </c>
    </row>
    <row r="13" spans="1:11" ht="15" customHeight="1" thickBot="1">
      <c r="A13" s="1544"/>
      <c r="B13" s="1578"/>
      <c r="C13" s="1573"/>
      <c r="D13" s="1573"/>
      <c r="E13" s="38" t="s">
        <v>846</v>
      </c>
      <c r="F13" s="699" t="s">
        <v>846</v>
      </c>
      <c r="G13" s="698"/>
      <c r="H13" s="697"/>
      <c r="I13" s="697"/>
      <c r="J13" s="696"/>
      <c r="K13" s="1575"/>
    </row>
    <row r="14" spans="1:11" ht="13.5" customHeight="1">
      <c r="A14" s="82" t="s">
        <v>390</v>
      </c>
      <c r="B14" s="1293" t="s">
        <v>840</v>
      </c>
      <c r="C14" s="1576"/>
      <c r="D14" s="695" t="s">
        <v>845</v>
      </c>
      <c r="E14" s="681" t="s">
        <v>844</v>
      </c>
      <c r="F14" s="694" t="s">
        <v>843</v>
      </c>
      <c r="G14" s="686"/>
      <c r="H14" s="685"/>
      <c r="I14" s="685"/>
      <c r="J14" s="684"/>
      <c r="K14" s="693"/>
    </row>
    <row r="15" spans="1:11" ht="13.5" customHeight="1">
      <c r="A15" s="692"/>
      <c r="B15" s="1571" t="s">
        <v>842</v>
      </c>
      <c r="C15" s="1572"/>
      <c r="D15" s="678" t="s">
        <v>841</v>
      </c>
      <c r="E15" s="681"/>
      <c r="F15" s="680"/>
      <c r="G15" s="679"/>
      <c r="H15" s="678"/>
      <c r="I15" s="678"/>
      <c r="J15" s="677"/>
      <c r="K15" s="691"/>
    </row>
    <row r="16" spans="1:11" ht="13.5" customHeight="1">
      <c r="A16" s="663"/>
      <c r="B16" s="1565" t="s">
        <v>834</v>
      </c>
      <c r="C16" s="1566"/>
      <c r="D16" s="673"/>
      <c r="E16" s="690"/>
      <c r="F16" s="689"/>
      <c r="G16" s="674"/>
      <c r="H16" s="673"/>
      <c r="I16" s="673"/>
      <c r="J16" s="672"/>
      <c r="K16" s="671"/>
    </row>
    <row r="17" spans="1:11" ht="13.5" customHeight="1">
      <c r="A17" s="82" t="s">
        <v>429</v>
      </c>
      <c r="B17" s="1569" t="s">
        <v>840</v>
      </c>
      <c r="C17" s="1570"/>
      <c r="D17" s="434" t="s">
        <v>839</v>
      </c>
      <c r="E17" s="688" t="s">
        <v>838</v>
      </c>
      <c r="F17" s="687" t="s">
        <v>837</v>
      </c>
      <c r="G17" s="686"/>
      <c r="H17" s="685"/>
      <c r="I17" s="685"/>
      <c r="J17" s="684"/>
      <c r="K17" s="683"/>
    </row>
    <row r="18" spans="1:11" ht="13.5" customHeight="1">
      <c r="A18" s="682"/>
      <c r="B18" s="1567" t="s">
        <v>836</v>
      </c>
      <c r="C18" s="1568"/>
      <c r="D18" s="678" t="s">
        <v>835</v>
      </c>
      <c r="E18" s="681"/>
      <c r="F18" s="680"/>
      <c r="G18" s="679"/>
      <c r="H18" s="678"/>
      <c r="I18" s="678"/>
      <c r="J18" s="677"/>
      <c r="K18" s="676"/>
    </row>
    <row r="19" spans="1:11" ht="13.5" customHeight="1">
      <c r="A19" s="85"/>
      <c r="B19" s="1565" t="s">
        <v>834</v>
      </c>
      <c r="C19" s="1566"/>
      <c r="D19" s="673"/>
      <c r="E19" s="673"/>
      <c r="F19" s="675"/>
      <c r="G19" s="674"/>
      <c r="H19" s="673"/>
      <c r="I19" s="673"/>
      <c r="J19" s="672"/>
      <c r="K19" s="671"/>
    </row>
    <row r="20" ht="13.5" customHeight="1"/>
    <row r="21" ht="13.5" customHeight="1"/>
    <row r="22" ht="13.5" customHeight="1"/>
    <row r="38" spans="1:6" ht="12.75">
      <c r="A38" s="6"/>
      <c r="B38" s="20"/>
      <c r="C38" s="20"/>
      <c r="D38" s="474"/>
      <c r="E38" s="474"/>
      <c r="F38" s="156"/>
    </row>
    <row r="39" spans="1:6" ht="12.75">
      <c r="A39" s="6"/>
      <c r="B39" s="20"/>
      <c r="C39" s="1571"/>
      <c r="D39" s="1571"/>
      <c r="E39" s="474"/>
      <c r="F39" s="156"/>
    </row>
    <row r="40" spans="1:6" ht="12.75">
      <c r="A40" s="6"/>
      <c r="B40" s="20"/>
      <c r="C40" s="1291"/>
      <c r="D40" s="1291"/>
      <c r="E40" s="474"/>
      <c r="F40" s="156"/>
    </row>
    <row r="41" spans="1:6" ht="12.75">
      <c r="A41" s="6"/>
      <c r="B41" s="20"/>
      <c r="C41" s="20"/>
      <c r="D41" s="474"/>
      <c r="E41" s="474"/>
      <c r="F41" s="156"/>
    </row>
    <row r="42" spans="1:6" ht="12.75">
      <c r="A42" s="6"/>
      <c r="B42" s="20"/>
      <c r="C42" s="20"/>
      <c r="D42" s="474"/>
      <c r="E42" s="474"/>
      <c r="F42" s="156"/>
    </row>
    <row r="43" spans="1:6" ht="12.75">
      <c r="A43" s="6"/>
      <c r="B43" s="20"/>
      <c r="C43" s="20"/>
      <c r="D43" s="474"/>
      <c r="E43" s="474"/>
      <c r="F43" s="156"/>
    </row>
    <row r="44" ht="15" customHeight="1"/>
    <row r="45" ht="9.75" customHeight="1"/>
    <row r="46" ht="9.75" customHeight="1"/>
  </sheetData>
  <sheetProtection/>
  <mergeCells count="20">
    <mergeCell ref="H1:K1"/>
    <mergeCell ref="I11:K11"/>
    <mergeCell ref="A5:K5"/>
    <mergeCell ref="A6:K6"/>
    <mergeCell ref="A7:K7"/>
    <mergeCell ref="E10:F10"/>
    <mergeCell ref="E2:F2"/>
    <mergeCell ref="B11:C11"/>
    <mergeCell ref="D12:D13"/>
    <mergeCell ref="K12:K13"/>
    <mergeCell ref="B14:C14"/>
    <mergeCell ref="B12:C13"/>
    <mergeCell ref="A12:A13"/>
    <mergeCell ref="C39:D39"/>
    <mergeCell ref="C40:D40"/>
    <mergeCell ref="B16:C16"/>
    <mergeCell ref="B18:C18"/>
    <mergeCell ref="B17:C17"/>
    <mergeCell ref="B15:C15"/>
    <mergeCell ref="B19:C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3">
      <selection activeCell="N40" sqref="N40"/>
    </sheetView>
  </sheetViews>
  <sheetFormatPr defaultColWidth="9.140625" defaultRowHeight="12.75"/>
  <cols>
    <col min="1" max="1" width="3.00390625" style="0" customWidth="1"/>
    <col min="7" max="7" width="4.281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140625" style="0" customWidth="1"/>
  </cols>
  <sheetData>
    <row r="1" spans="9:12" ht="12.75">
      <c r="I1" s="1096"/>
      <c r="J1" s="1096"/>
      <c r="K1" s="99"/>
      <c r="L1" s="112" t="s">
        <v>227</v>
      </c>
    </row>
    <row r="3" spans="2:12" ht="12.75">
      <c r="B3" s="1593"/>
      <c r="C3" s="1593"/>
      <c r="D3" s="1593"/>
      <c r="E3" s="1593"/>
      <c r="F3" s="1593"/>
      <c r="G3" s="1593"/>
      <c r="H3" s="1593"/>
      <c r="I3" s="1593"/>
      <c r="J3" s="1593"/>
      <c r="K3" s="1"/>
      <c r="L3" s="1"/>
    </row>
    <row r="4" spans="2:12" ht="12.75">
      <c r="B4" s="1097" t="s">
        <v>868</v>
      </c>
      <c r="C4" s="1097"/>
      <c r="D4" s="1097"/>
      <c r="E4" s="1097"/>
      <c r="F4" s="1097"/>
      <c r="G4" s="1097"/>
      <c r="H4" s="1097"/>
      <c r="I4" s="1097"/>
      <c r="J4" s="1097"/>
      <c r="K4" s="42"/>
      <c r="L4" s="37"/>
    </row>
    <row r="5" spans="2:12" ht="12.75">
      <c r="B5" s="1097" t="s">
        <v>867</v>
      </c>
      <c r="C5" s="1097"/>
      <c r="D5" s="1097"/>
      <c r="E5" s="1097"/>
      <c r="F5" s="1097"/>
      <c r="G5" s="1097"/>
      <c r="H5" s="1097"/>
      <c r="I5" s="1097"/>
      <c r="J5" s="1097"/>
      <c r="K5" s="42"/>
      <c r="L5" s="37"/>
    </row>
    <row r="6" spans="2:12" ht="12.75">
      <c r="B6" s="1236" t="s">
        <v>866</v>
      </c>
      <c r="C6" s="1158"/>
      <c r="D6" s="1158"/>
      <c r="E6" s="1158"/>
      <c r="F6" s="1158"/>
      <c r="G6" s="1158"/>
      <c r="H6" s="1158"/>
      <c r="I6" s="1158"/>
      <c r="J6" s="1158"/>
      <c r="K6" s="37"/>
      <c r="L6" s="37"/>
    </row>
    <row r="7" spans="2:12" ht="12.7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2.75">
      <c r="B8" s="37"/>
      <c r="C8" s="37"/>
      <c r="D8" s="37"/>
      <c r="E8" s="37"/>
      <c r="F8" s="726"/>
      <c r="G8" s="37"/>
      <c r="H8" s="37"/>
      <c r="I8" s="37"/>
      <c r="J8" s="37"/>
      <c r="K8" s="37"/>
      <c r="L8" s="37"/>
    </row>
    <row r="9" spans="2:12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5" thickBot="1">
      <c r="A10" s="725"/>
      <c r="B10" s="4"/>
      <c r="C10" s="37"/>
      <c r="D10" s="37"/>
      <c r="E10" s="37"/>
      <c r="F10" s="37"/>
      <c r="G10" s="37"/>
      <c r="H10" s="37"/>
      <c r="I10" s="1596" t="s">
        <v>882</v>
      </c>
      <c r="J10" s="1596"/>
      <c r="K10" s="1596"/>
      <c r="L10" s="1596"/>
    </row>
    <row r="11" spans="1:12" ht="12.75">
      <c r="A11" s="1591"/>
      <c r="B11" s="1581" t="s">
        <v>41</v>
      </c>
      <c r="C11" s="1597"/>
      <c r="D11" s="1597"/>
      <c r="E11" s="1597"/>
      <c r="F11" s="1597"/>
      <c r="G11" s="1582"/>
      <c r="H11" s="703" t="s">
        <v>27</v>
      </c>
      <c r="I11" s="703" t="s">
        <v>28</v>
      </c>
      <c r="J11" s="703" t="s">
        <v>29</v>
      </c>
      <c r="K11" s="703" t="s">
        <v>30</v>
      </c>
      <c r="L11" s="703" t="s">
        <v>439</v>
      </c>
    </row>
    <row r="12" spans="1:12" ht="12.75">
      <c r="A12" s="1175"/>
      <c r="B12" s="1254" t="s">
        <v>865</v>
      </c>
      <c r="C12" s="1255"/>
      <c r="D12" s="1255"/>
      <c r="E12" s="1255"/>
      <c r="F12" s="1255"/>
      <c r="G12" s="1255"/>
      <c r="H12" s="1294" t="s">
        <v>864</v>
      </c>
      <c r="I12" s="1295"/>
      <c r="J12" s="1295"/>
      <c r="K12" s="1295"/>
      <c r="L12" s="1296"/>
    </row>
    <row r="13" spans="1:12" ht="13.5" thickBot="1">
      <c r="A13" s="1592"/>
      <c r="B13" s="1594"/>
      <c r="C13" s="1595"/>
      <c r="D13" s="1595"/>
      <c r="E13" s="1595"/>
      <c r="F13" s="1595"/>
      <c r="G13" s="1595"/>
      <c r="H13" s="38" t="s">
        <v>863</v>
      </c>
      <c r="I13" s="724" t="s">
        <v>862</v>
      </c>
      <c r="J13" s="38" t="s">
        <v>861</v>
      </c>
      <c r="K13" s="724" t="s">
        <v>860</v>
      </c>
      <c r="L13" s="464" t="s">
        <v>859</v>
      </c>
    </row>
    <row r="14" spans="1:14" ht="37.5" customHeight="1" thickBot="1">
      <c r="A14" s="306">
        <v>1</v>
      </c>
      <c r="B14" s="1589" t="s">
        <v>881</v>
      </c>
      <c r="C14" s="1590"/>
      <c r="D14" s="1590"/>
      <c r="E14" s="1590"/>
      <c r="F14" s="1590"/>
      <c r="G14" s="1590"/>
      <c r="H14" s="723"/>
      <c r="I14" s="722"/>
      <c r="J14" s="721"/>
      <c r="K14" s="721"/>
      <c r="L14" s="720"/>
      <c r="N14" s="378"/>
    </row>
    <row r="15" spans="1:12" ht="12.75">
      <c r="A15" s="110">
        <v>2</v>
      </c>
      <c r="B15" s="1584" t="s">
        <v>880</v>
      </c>
      <c r="C15" s="1585"/>
      <c r="D15" s="1585"/>
      <c r="E15" s="1585"/>
      <c r="F15" s="1585"/>
      <c r="G15" s="1585"/>
      <c r="H15" s="713"/>
      <c r="I15" s="716"/>
      <c r="J15" s="713"/>
      <c r="K15" s="713"/>
      <c r="L15" s="718"/>
    </row>
    <row r="16" spans="1:12" ht="12.75">
      <c r="A16" s="110">
        <v>3</v>
      </c>
      <c r="B16" s="1584" t="s">
        <v>879</v>
      </c>
      <c r="C16" s="1585"/>
      <c r="D16" s="1585"/>
      <c r="E16" s="1585"/>
      <c r="F16" s="1585"/>
      <c r="G16" s="1585"/>
      <c r="H16" s="713">
        <v>7024</v>
      </c>
      <c r="I16" s="716">
        <v>17750</v>
      </c>
      <c r="J16" s="713">
        <v>0</v>
      </c>
      <c r="K16" s="713">
        <v>0</v>
      </c>
      <c r="L16" s="718">
        <v>0</v>
      </c>
    </row>
    <row r="17" spans="1:12" ht="12.75">
      <c r="A17" s="110">
        <v>4</v>
      </c>
      <c r="B17" s="1045" t="s">
        <v>878</v>
      </c>
      <c r="C17" s="1045"/>
      <c r="D17" s="1045"/>
      <c r="E17" s="1045"/>
      <c r="F17" s="1045"/>
      <c r="G17" s="1046"/>
      <c r="H17" s="713">
        <v>0</v>
      </c>
      <c r="I17" s="716">
        <v>204171</v>
      </c>
      <c r="J17" s="713">
        <v>0</v>
      </c>
      <c r="K17" s="713">
        <v>0</v>
      </c>
      <c r="L17" s="718">
        <v>0</v>
      </c>
    </row>
    <row r="18" spans="1:12" ht="12.75">
      <c r="A18" s="110">
        <v>5</v>
      </c>
      <c r="B18" s="1584" t="s">
        <v>877</v>
      </c>
      <c r="C18" s="1585"/>
      <c r="D18" s="1585"/>
      <c r="E18" s="1585"/>
      <c r="F18" s="1585"/>
      <c r="G18" s="1585"/>
      <c r="H18" s="713"/>
      <c r="I18" s="716"/>
      <c r="J18" s="713"/>
      <c r="K18" s="713"/>
      <c r="L18" s="718"/>
    </row>
    <row r="19" spans="1:14" ht="51" customHeight="1">
      <c r="A19" s="110">
        <v>6</v>
      </c>
      <c r="B19" s="1584" t="s">
        <v>876</v>
      </c>
      <c r="C19" s="1585"/>
      <c r="D19" s="1585"/>
      <c r="E19" s="1585"/>
      <c r="F19" s="1585"/>
      <c r="G19" s="1585"/>
      <c r="H19" s="713">
        <v>-2100</v>
      </c>
      <c r="I19" s="713">
        <v>-2200</v>
      </c>
      <c r="J19" s="719">
        <v>-2500</v>
      </c>
      <c r="K19" s="713">
        <v>-2500</v>
      </c>
      <c r="L19" s="718">
        <v>-2500</v>
      </c>
      <c r="N19" s="255"/>
    </row>
    <row r="20" spans="1:12" ht="39" customHeight="1">
      <c r="A20" s="110">
        <v>7</v>
      </c>
      <c r="B20" s="1584" t="s">
        <v>875</v>
      </c>
      <c r="C20" s="1585"/>
      <c r="D20" s="1585"/>
      <c r="E20" s="1585"/>
      <c r="F20" s="1585"/>
      <c r="G20" s="1585"/>
      <c r="H20" s="713">
        <v>57</v>
      </c>
      <c r="I20" s="713">
        <v>59</v>
      </c>
      <c r="J20" s="719">
        <v>59</v>
      </c>
      <c r="K20" s="713">
        <v>59</v>
      </c>
      <c r="L20" s="718">
        <v>59</v>
      </c>
    </row>
    <row r="21" spans="1:12" ht="41.25" customHeight="1">
      <c r="A21" s="110">
        <v>8</v>
      </c>
      <c r="B21" s="1584" t="s">
        <v>874</v>
      </c>
      <c r="C21" s="1585"/>
      <c r="D21" s="1585"/>
      <c r="E21" s="1585"/>
      <c r="F21" s="1585"/>
      <c r="G21" s="1585"/>
      <c r="H21" s="713">
        <v>858</v>
      </c>
      <c r="I21" s="713">
        <v>858</v>
      </c>
      <c r="J21" s="719">
        <v>858</v>
      </c>
      <c r="K21" s="713">
        <v>858</v>
      </c>
      <c r="L21" s="718">
        <v>858</v>
      </c>
    </row>
    <row r="22" spans="1:12" ht="39" customHeight="1">
      <c r="A22" s="110">
        <v>9</v>
      </c>
      <c r="B22" s="1584" t="s">
        <v>873</v>
      </c>
      <c r="C22" s="1585"/>
      <c r="D22" s="1585"/>
      <c r="E22" s="1585"/>
      <c r="F22" s="1585"/>
      <c r="G22" s="1585"/>
      <c r="H22" s="713">
        <v>5323</v>
      </c>
      <c r="I22" s="713">
        <v>5256</v>
      </c>
      <c r="J22" s="719">
        <v>5830</v>
      </c>
      <c r="K22" s="713">
        <v>6500</v>
      </c>
      <c r="L22" s="718">
        <v>6500</v>
      </c>
    </row>
    <row r="23" spans="1:12" ht="25.5" customHeight="1">
      <c r="A23" s="110">
        <v>10</v>
      </c>
      <c r="B23" s="1602" t="s">
        <v>872</v>
      </c>
      <c r="C23" s="1603"/>
      <c r="D23" s="1603"/>
      <c r="E23" s="1603"/>
      <c r="F23" s="1603"/>
      <c r="G23" s="1342"/>
      <c r="H23" s="713">
        <v>1067</v>
      </c>
      <c r="I23" s="713">
        <v>1296</v>
      </c>
      <c r="J23" s="713">
        <v>1296</v>
      </c>
      <c r="K23" s="713">
        <v>1400</v>
      </c>
      <c r="L23" s="718">
        <v>1400</v>
      </c>
    </row>
    <row r="24" spans="1:12" ht="27" customHeight="1">
      <c r="A24" s="110">
        <v>11</v>
      </c>
      <c r="B24" s="1584" t="s">
        <v>871</v>
      </c>
      <c r="C24" s="1585"/>
      <c r="D24" s="1585"/>
      <c r="E24" s="1585"/>
      <c r="F24" s="1585"/>
      <c r="G24" s="1585"/>
      <c r="H24" s="713">
        <v>948</v>
      </c>
      <c r="I24" s="713">
        <v>1369</v>
      </c>
      <c r="J24" s="717">
        <v>1369</v>
      </c>
      <c r="K24" s="716">
        <v>1369</v>
      </c>
      <c r="L24" s="711">
        <v>1369</v>
      </c>
    </row>
    <row r="25" spans="1:12" ht="53.25" customHeight="1">
      <c r="A25" s="153">
        <v>12</v>
      </c>
      <c r="B25" s="1606" t="s">
        <v>870</v>
      </c>
      <c r="C25" s="1606"/>
      <c r="D25" s="1606"/>
      <c r="E25" s="1606"/>
      <c r="F25" s="1606"/>
      <c r="G25" s="1607"/>
      <c r="H25" s="715">
        <v>0</v>
      </c>
      <c r="I25" s="714">
        <v>0</v>
      </c>
      <c r="J25" s="713">
        <v>28334</v>
      </c>
      <c r="K25" s="712">
        <v>25500</v>
      </c>
      <c r="L25" s="711">
        <v>25500</v>
      </c>
    </row>
    <row r="26" spans="1:12" ht="43.5" customHeight="1">
      <c r="A26" s="305">
        <v>13</v>
      </c>
      <c r="B26" s="1598" t="s">
        <v>869</v>
      </c>
      <c r="C26" s="1598"/>
      <c r="D26" s="1598"/>
      <c r="E26" s="1598"/>
      <c r="F26" s="1598"/>
      <c r="G26" s="1598"/>
      <c r="H26" s="705">
        <v>384</v>
      </c>
      <c r="I26" s="705">
        <v>576</v>
      </c>
      <c r="J26" s="705">
        <v>588</v>
      </c>
      <c r="K26" s="705">
        <v>200</v>
      </c>
      <c r="L26" s="705">
        <v>0</v>
      </c>
    </row>
    <row r="27" spans="1:12" ht="15.75" customHeight="1">
      <c r="A27" s="510"/>
      <c r="B27" s="709"/>
      <c r="C27" s="709"/>
      <c r="D27" s="709"/>
      <c r="E27" s="709"/>
      <c r="F27" s="709"/>
      <c r="G27" s="709"/>
      <c r="H27" s="708"/>
      <c r="I27" s="708"/>
      <c r="J27" s="708"/>
      <c r="K27" s="708"/>
      <c r="L27" s="708"/>
    </row>
    <row r="28" spans="1:12" ht="15" customHeight="1">
      <c r="A28" s="510"/>
      <c r="B28" s="709"/>
      <c r="C28" s="709"/>
      <c r="D28" s="709"/>
      <c r="E28" s="709"/>
      <c r="F28" s="709"/>
      <c r="G28" s="709"/>
      <c r="H28" s="708"/>
      <c r="I28" s="708"/>
      <c r="J28" s="708"/>
      <c r="K28" s="708"/>
      <c r="L28" s="708"/>
    </row>
    <row r="29" spans="1:12" ht="14.25" customHeight="1">
      <c r="A29" s="510"/>
      <c r="B29" s="709"/>
      <c r="C29" s="709"/>
      <c r="D29" s="709"/>
      <c r="E29" s="709"/>
      <c r="F29" s="709"/>
      <c r="G29" s="709"/>
      <c r="H29" s="708"/>
      <c r="I29" s="708"/>
      <c r="J29" s="708"/>
      <c r="K29" s="708"/>
      <c r="L29" s="708"/>
    </row>
    <row r="30" spans="1:12" ht="14.25" customHeight="1">
      <c r="A30" s="510"/>
      <c r="B30" s="709"/>
      <c r="C30" s="709"/>
      <c r="D30" s="709"/>
      <c r="E30" s="709"/>
      <c r="F30" s="709"/>
      <c r="G30" s="709"/>
      <c r="H30" s="708"/>
      <c r="I30" s="708"/>
      <c r="J30" s="708"/>
      <c r="K30" s="708"/>
      <c r="L30" s="708"/>
    </row>
    <row r="31" spans="1:12" ht="14.25" customHeight="1">
      <c r="A31" s="510"/>
      <c r="B31" s="709"/>
      <c r="C31" s="709"/>
      <c r="D31" s="709"/>
      <c r="E31" s="709"/>
      <c r="F31" s="709"/>
      <c r="G31" s="709"/>
      <c r="H31" s="708"/>
      <c r="I31" s="708"/>
      <c r="J31" s="708"/>
      <c r="K31" s="708"/>
      <c r="L31" s="708"/>
    </row>
    <row r="32" spans="1:12" ht="14.25" customHeight="1">
      <c r="A32" s="510"/>
      <c r="B32" s="709"/>
      <c r="C32" s="709"/>
      <c r="D32" s="709"/>
      <c r="E32" s="709"/>
      <c r="F32" s="709"/>
      <c r="G32" s="709"/>
      <c r="H32" s="708"/>
      <c r="I32" s="708"/>
      <c r="J32" s="708"/>
      <c r="K32" s="708"/>
      <c r="L32" s="708"/>
    </row>
    <row r="33" spans="1:12" ht="14.25" customHeight="1">
      <c r="A33" s="510"/>
      <c r="B33" s="709"/>
      <c r="C33" s="709"/>
      <c r="D33" s="709"/>
      <c r="E33" s="709"/>
      <c r="F33" s="709"/>
      <c r="G33" s="709"/>
      <c r="H33" s="708"/>
      <c r="I33" s="708"/>
      <c r="J33" s="708"/>
      <c r="K33" s="708"/>
      <c r="L33" s="708"/>
    </row>
    <row r="34" spans="1:12" ht="14.25" customHeight="1">
      <c r="A34" s="510"/>
      <c r="B34" s="709"/>
      <c r="C34" s="709"/>
      <c r="D34" s="709"/>
      <c r="E34" s="709"/>
      <c r="F34" s="709"/>
      <c r="G34" s="709"/>
      <c r="H34" s="708"/>
      <c r="I34" s="708"/>
      <c r="J34" s="708"/>
      <c r="K34" s="708"/>
      <c r="L34" s="708"/>
    </row>
    <row r="35" spans="1:12" ht="14.25" customHeight="1">
      <c r="A35" s="510"/>
      <c r="B35" s="709"/>
      <c r="C35" s="709"/>
      <c r="D35" s="709"/>
      <c r="E35" s="709"/>
      <c r="F35" s="709"/>
      <c r="G35" s="709"/>
      <c r="H35" s="708"/>
      <c r="I35" s="708"/>
      <c r="J35" s="708"/>
      <c r="K35" s="708"/>
      <c r="L35" s="708"/>
    </row>
    <row r="36" spans="1:12" ht="14.25" customHeight="1">
      <c r="A36" s="510"/>
      <c r="B36" s="709"/>
      <c r="C36" s="709"/>
      <c r="D36" s="709"/>
      <c r="E36" s="709"/>
      <c r="F36" s="709"/>
      <c r="G36" s="709"/>
      <c r="H36" s="708"/>
      <c r="I36" s="708"/>
      <c r="J36" s="708"/>
      <c r="K36" s="708"/>
      <c r="L36" s="708"/>
    </row>
    <row r="37" spans="1:12" ht="24.75" customHeight="1">
      <c r="A37" s="510"/>
      <c r="B37" s="709"/>
      <c r="C37" s="709"/>
      <c r="D37" s="709"/>
      <c r="E37" s="709"/>
      <c r="F37" s="709"/>
      <c r="G37" s="709"/>
      <c r="H37" s="708"/>
      <c r="I37" s="708"/>
      <c r="J37" s="708"/>
      <c r="L37" s="710" t="s">
        <v>406</v>
      </c>
    </row>
    <row r="38" spans="1:12" ht="15.75" customHeight="1">
      <c r="A38" s="510"/>
      <c r="B38" s="1586" t="s">
        <v>868</v>
      </c>
      <c r="C38" s="1586"/>
      <c r="D38" s="1586"/>
      <c r="E38" s="1586"/>
      <c r="F38" s="1586"/>
      <c r="G38" s="1586"/>
      <c r="H38" s="1586"/>
      <c r="I38" s="1586"/>
      <c r="J38" s="1586"/>
      <c r="K38" s="1586"/>
      <c r="L38" s="708"/>
    </row>
    <row r="39" spans="1:12" ht="17.25" customHeight="1">
      <c r="A39" s="510"/>
      <c r="B39" s="1586" t="s">
        <v>867</v>
      </c>
      <c r="C39" s="1586"/>
      <c r="D39" s="1586"/>
      <c r="E39" s="1586"/>
      <c r="F39" s="1586"/>
      <c r="G39" s="1586"/>
      <c r="H39" s="1586"/>
      <c r="I39" s="1586"/>
      <c r="J39" s="1586"/>
      <c r="K39" s="1586"/>
      <c r="L39" s="708"/>
    </row>
    <row r="40" spans="1:12" ht="16.5" customHeight="1">
      <c r="A40" s="510"/>
      <c r="B40" s="1586" t="s">
        <v>866</v>
      </c>
      <c r="C40" s="1586"/>
      <c r="D40" s="1586"/>
      <c r="E40" s="1586"/>
      <c r="F40" s="1586"/>
      <c r="G40" s="1586"/>
      <c r="H40" s="1586"/>
      <c r="I40" s="1586"/>
      <c r="J40" s="1586"/>
      <c r="K40" s="1586"/>
      <c r="L40" s="708"/>
    </row>
    <row r="41" spans="1:12" ht="17.25" customHeight="1">
      <c r="A41" s="510"/>
      <c r="B41" s="709"/>
      <c r="C41" s="709"/>
      <c r="D41" s="709"/>
      <c r="E41" s="709"/>
      <c r="F41" s="709"/>
      <c r="G41" s="709"/>
      <c r="H41" s="708"/>
      <c r="I41" s="708"/>
      <c r="J41" s="708"/>
      <c r="K41" s="1587" t="s">
        <v>4</v>
      </c>
      <c r="L41" s="1588"/>
    </row>
    <row r="42" spans="1:12" ht="12.75" customHeight="1">
      <c r="A42" s="1174"/>
      <c r="B42" s="1194" t="s">
        <v>41</v>
      </c>
      <c r="C42" s="1195"/>
      <c r="D42" s="1195"/>
      <c r="E42" s="1195"/>
      <c r="F42" s="1195"/>
      <c r="G42" s="1196"/>
      <c r="H42" s="208" t="s">
        <v>27</v>
      </c>
      <c r="I42" s="208" t="s">
        <v>28</v>
      </c>
      <c r="J42" s="208" t="s">
        <v>29</v>
      </c>
      <c r="K42" s="208" t="s">
        <v>30</v>
      </c>
      <c r="L42" s="208" t="s">
        <v>439</v>
      </c>
    </row>
    <row r="43" spans="1:12" ht="11.25" customHeight="1">
      <c r="A43" s="1175"/>
      <c r="B43" s="1254" t="s">
        <v>865</v>
      </c>
      <c r="C43" s="1255"/>
      <c r="D43" s="1255"/>
      <c r="E43" s="1255"/>
      <c r="F43" s="1255"/>
      <c r="G43" s="1255"/>
      <c r="H43" s="1294" t="s">
        <v>864</v>
      </c>
      <c r="I43" s="1295"/>
      <c r="J43" s="1295"/>
      <c r="K43" s="1295"/>
      <c r="L43" s="1254"/>
    </row>
    <row r="44" spans="1:12" ht="21" customHeight="1">
      <c r="A44" s="1176"/>
      <c r="B44" s="1196"/>
      <c r="C44" s="1583"/>
      <c r="D44" s="1583"/>
      <c r="E44" s="1583"/>
      <c r="F44" s="1583"/>
      <c r="G44" s="1583"/>
      <c r="H44" s="110" t="s">
        <v>863</v>
      </c>
      <c r="I44" s="135" t="s">
        <v>862</v>
      </c>
      <c r="J44" s="110" t="s">
        <v>861</v>
      </c>
      <c r="K44" s="135" t="s">
        <v>860</v>
      </c>
      <c r="L44" s="110" t="s">
        <v>859</v>
      </c>
    </row>
    <row r="45" spans="1:12" ht="42.75" customHeight="1">
      <c r="A45" s="707">
        <v>14</v>
      </c>
      <c r="B45" s="1604" t="s">
        <v>858</v>
      </c>
      <c r="C45" s="1604"/>
      <c r="D45" s="1604"/>
      <c r="E45" s="1604"/>
      <c r="F45" s="1604"/>
      <c r="G45" s="1604"/>
      <c r="H45" s="706">
        <v>600</v>
      </c>
      <c r="I45" s="706">
        <v>600</v>
      </c>
      <c r="J45" s="706">
        <v>660</v>
      </c>
      <c r="K45" s="706">
        <v>720</v>
      </c>
      <c r="L45" s="706">
        <v>720</v>
      </c>
    </row>
    <row r="46" spans="1:12" ht="24.75" customHeight="1">
      <c r="A46" s="305">
        <v>15</v>
      </c>
      <c r="B46" s="1605" t="s">
        <v>857</v>
      </c>
      <c r="C46" s="1605"/>
      <c r="D46" s="1605"/>
      <c r="E46" s="1605"/>
      <c r="F46" s="1605"/>
      <c r="G46" s="1605"/>
      <c r="H46" s="705">
        <v>0</v>
      </c>
      <c r="I46" s="705">
        <v>0</v>
      </c>
      <c r="J46" s="705">
        <v>89</v>
      </c>
      <c r="K46" s="705">
        <v>354</v>
      </c>
      <c r="L46" s="705">
        <v>354</v>
      </c>
    </row>
    <row r="47" spans="1:12" ht="24.75" customHeight="1">
      <c r="A47" s="305">
        <v>16</v>
      </c>
      <c r="B47" s="1599" t="s">
        <v>856</v>
      </c>
      <c r="C47" s="1600"/>
      <c r="D47" s="1600"/>
      <c r="E47" s="1600"/>
      <c r="F47" s="1600"/>
      <c r="G47" s="1601"/>
      <c r="H47" s="705">
        <v>0</v>
      </c>
      <c r="I47" s="705">
        <v>0</v>
      </c>
      <c r="J47" s="705">
        <v>605</v>
      </c>
      <c r="K47" s="705">
        <v>660</v>
      </c>
      <c r="L47" s="705">
        <v>660</v>
      </c>
    </row>
    <row r="48" spans="1:12" ht="48" customHeight="1">
      <c r="A48" s="305">
        <v>17</v>
      </c>
      <c r="B48" s="1599" t="s">
        <v>855</v>
      </c>
      <c r="C48" s="1600"/>
      <c r="D48" s="1600"/>
      <c r="E48" s="1600"/>
      <c r="F48" s="1600"/>
      <c r="G48" s="1601"/>
      <c r="H48" s="705">
        <v>0</v>
      </c>
      <c r="I48" s="705">
        <v>0</v>
      </c>
      <c r="J48" s="705">
        <v>0</v>
      </c>
      <c r="K48" s="705">
        <v>150</v>
      </c>
      <c r="L48" s="705">
        <v>150</v>
      </c>
    </row>
    <row r="49" spans="1:12" ht="48.75" customHeight="1">
      <c r="A49" s="305">
        <v>18</v>
      </c>
      <c r="B49" s="1599" t="s">
        <v>854</v>
      </c>
      <c r="C49" s="1600"/>
      <c r="D49" s="1600"/>
      <c r="E49" s="1600"/>
      <c r="F49" s="1600"/>
      <c r="G49" s="1601"/>
      <c r="H49" s="705">
        <v>4910</v>
      </c>
      <c r="I49" s="705">
        <v>7099</v>
      </c>
      <c r="J49" s="705">
        <v>7247</v>
      </c>
      <c r="K49" s="705">
        <v>7395</v>
      </c>
      <c r="L49" s="705">
        <v>7395</v>
      </c>
    </row>
  </sheetData>
  <sheetProtection/>
  <mergeCells count="36">
    <mergeCell ref="B26:G26"/>
    <mergeCell ref="B47:G47"/>
    <mergeCell ref="B48:G48"/>
    <mergeCell ref="B49:G49"/>
    <mergeCell ref="B23:G23"/>
    <mergeCell ref="B45:G45"/>
    <mergeCell ref="B46:G46"/>
    <mergeCell ref="B38:K38"/>
    <mergeCell ref="B24:G24"/>
    <mergeCell ref="B25:G25"/>
    <mergeCell ref="A11:A13"/>
    <mergeCell ref="I1:J1"/>
    <mergeCell ref="B3:J3"/>
    <mergeCell ref="B4:J4"/>
    <mergeCell ref="B5:J5"/>
    <mergeCell ref="B12:G13"/>
    <mergeCell ref="B6:J6"/>
    <mergeCell ref="I10:L10"/>
    <mergeCell ref="B11:G11"/>
    <mergeCell ref="B17:G17"/>
    <mergeCell ref="H12:L12"/>
    <mergeCell ref="B15:G15"/>
    <mergeCell ref="B16:G16"/>
    <mergeCell ref="B18:G18"/>
    <mergeCell ref="B19:G19"/>
    <mergeCell ref="B14:G14"/>
    <mergeCell ref="A42:A44"/>
    <mergeCell ref="B42:G42"/>
    <mergeCell ref="B43:G44"/>
    <mergeCell ref="H43:L43"/>
    <mergeCell ref="B20:G20"/>
    <mergeCell ref="B21:G21"/>
    <mergeCell ref="B39:K39"/>
    <mergeCell ref="B40:K40"/>
    <mergeCell ref="K41:L41"/>
    <mergeCell ref="B22: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J39" sqref="J39"/>
    </sheetView>
  </sheetViews>
  <sheetFormatPr defaultColWidth="9.140625" defaultRowHeight="12.75"/>
  <cols>
    <col min="1" max="1" width="6.7109375" style="727" customWidth="1"/>
    <col min="2" max="4" width="9.140625" style="727" customWidth="1"/>
    <col min="5" max="5" width="34.8515625" style="727" customWidth="1"/>
    <col min="6" max="16384" width="9.140625" style="727" customWidth="1"/>
  </cols>
  <sheetData>
    <row r="1" spans="1:10" ht="15">
      <c r="A1" s="1612" t="s">
        <v>921</v>
      </c>
      <c r="B1" s="1612"/>
      <c r="C1" s="1612"/>
      <c r="D1" s="1612"/>
      <c r="E1" s="1612"/>
      <c r="F1" s="1612"/>
      <c r="G1" s="1612"/>
      <c r="H1" s="1612"/>
      <c r="I1" s="1612"/>
      <c r="J1" s="1612"/>
    </row>
    <row r="2" spans="2:6" ht="16.5" customHeight="1">
      <c r="B2" s="1613" t="s">
        <v>920</v>
      </c>
      <c r="C2" s="1613"/>
      <c r="D2" s="1613"/>
      <c r="E2" s="1613"/>
      <c r="F2" s="1613"/>
    </row>
    <row r="3" ht="10.5" customHeight="1">
      <c r="F3" s="738" t="s">
        <v>4</v>
      </c>
    </row>
    <row r="4" spans="1:6" ht="9.75" customHeight="1">
      <c r="A4" s="729"/>
      <c r="B4" s="1614" t="s">
        <v>41</v>
      </c>
      <c r="C4" s="1615"/>
      <c r="D4" s="1615"/>
      <c r="E4" s="1616"/>
      <c r="F4" s="737" t="s">
        <v>27</v>
      </c>
    </row>
    <row r="5" spans="1:6" ht="15">
      <c r="A5" s="736" t="s">
        <v>919</v>
      </c>
      <c r="B5" s="1609" t="s">
        <v>7</v>
      </c>
      <c r="C5" s="1610"/>
      <c r="D5" s="1610"/>
      <c r="E5" s="1611"/>
      <c r="F5" s="735" t="s">
        <v>918</v>
      </c>
    </row>
    <row r="6" spans="1:6" ht="12.75" customHeight="1">
      <c r="A6" s="730" t="s">
        <v>390</v>
      </c>
      <c r="B6" s="729" t="s">
        <v>917</v>
      </c>
      <c r="C6" s="729"/>
      <c r="D6" s="729"/>
      <c r="E6" s="729"/>
      <c r="F6" s="733">
        <v>497293</v>
      </c>
    </row>
    <row r="7" spans="1:6" ht="15">
      <c r="A7" s="730" t="s">
        <v>429</v>
      </c>
      <c r="B7" s="729" t="s">
        <v>916</v>
      </c>
      <c r="C7" s="729"/>
      <c r="D7" s="729"/>
      <c r="E7" s="729"/>
      <c r="F7" s="733">
        <v>0</v>
      </c>
    </row>
    <row r="8" spans="1:6" ht="15">
      <c r="A8" s="734" t="s">
        <v>428</v>
      </c>
      <c r="B8" s="1617" t="s">
        <v>915</v>
      </c>
      <c r="C8" s="1617"/>
      <c r="D8" s="1617"/>
      <c r="E8" s="1617"/>
      <c r="F8" s="731">
        <f>SUM(F7:G8)</f>
        <v>497293</v>
      </c>
    </row>
    <row r="9" spans="1:6" ht="15">
      <c r="A9" s="730" t="s">
        <v>427</v>
      </c>
      <c r="B9" s="729" t="s">
        <v>914</v>
      </c>
      <c r="C9" s="729"/>
      <c r="D9" s="729"/>
      <c r="E9" s="729"/>
      <c r="F9" s="733">
        <v>20</v>
      </c>
    </row>
    <row r="10" spans="1:6" ht="15">
      <c r="A10" s="730" t="s">
        <v>426</v>
      </c>
      <c r="B10" s="729" t="s">
        <v>913</v>
      </c>
      <c r="C10" s="729"/>
      <c r="D10" s="729"/>
      <c r="E10" s="729"/>
      <c r="F10" s="733">
        <v>0</v>
      </c>
    </row>
    <row r="11" spans="1:6" ht="15">
      <c r="A11" s="730" t="s">
        <v>425</v>
      </c>
      <c r="B11" s="729" t="s">
        <v>912</v>
      </c>
      <c r="C11" s="729"/>
      <c r="D11" s="729"/>
      <c r="E11" s="729"/>
      <c r="F11" s="733">
        <v>10185</v>
      </c>
    </row>
    <row r="12" spans="1:6" ht="15">
      <c r="A12" s="730" t="s">
        <v>424</v>
      </c>
      <c r="B12" s="729" t="s">
        <v>911</v>
      </c>
      <c r="C12" s="729"/>
      <c r="D12" s="729"/>
      <c r="E12" s="729"/>
      <c r="F12" s="733">
        <v>11250</v>
      </c>
    </row>
    <row r="13" spans="1:6" ht="15">
      <c r="A13" s="730" t="s">
        <v>423</v>
      </c>
      <c r="B13" s="729" t="s">
        <v>910</v>
      </c>
      <c r="C13" s="729"/>
      <c r="D13" s="729"/>
      <c r="E13" s="729"/>
      <c r="F13" s="733">
        <v>3</v>
      </c>
    </row>
    <row r="14" spans="1:6" ht="15">
      <c r="A14" s="730" t="s">
        <v>422</v>
      </c>
      <c r="B14" s="729" t="s">
        <v>909</v>
      </c>
      <c r="C14" s="729"/>
      <c r="D14" s="729"/>
      <c r="E14" s="729"/>
      <c r="F14" s="733">
        <v>2166</v>
      </c>
    </row>
    <row r="15" spans="1:6" ht="15">
      <c r="A15" s="734" t="s">
        <v>421</v>
      </c>
      <c r="B15" s="732" t="s">
        <v>908</v>
      </c>
      <c r="C15" s="732"/>
      <c r="D15" s="732"/>
      <c r="E15" s="732"/>
      <c r="F15" s="731">
        <f>F9+F11+F13-F10-F12-F14</f>
        <v>-3208</v>
      </c>
    </row>
    <row r="16" spans="1:6" ht="15">
      <c r="A16" s="734" t="s">
        <v>420</v>
      </c>
      <c r="B16" s="1617" t="s">
        <v>907</v>
      </c>
      <c r="C16" s="1617"/>
      <c r="D16" s="1617"/>
      <c r="E16" s="1617"/>
      <c r="F16" s="731"/>
    </row>
    <row r="17" spans="1:6" ht="15">
      <c r="A17" s="730" t="s">
        <v>419</v>
      </c>
      <c r="B17" s="729" t="s">
        <v>906</v>
      </c>
      <c r="C17" s="729"/>
      <c r="D17" s="729"/>
      <c r="E17" s="729"/>
      <c r="F17" s="733">
        <v>490515</v>
      </c>
    </row>
    <row r="18" spans="1:6" ht="15">
      <c r="A18" s="730" t="s">
        <v>418</v>
      </c>
      <c r="B18" s="729" t="s">
        <v>905</v>
      </c>
      <c r="C18" s="729"/>
      <c r="D18" s="729"/>
      <c r="E18" s="729"/>
      <c r="F18" s="733">
        <v>0</v>
      </c>
    </row>
    <row r="19" spans="1:6" ht="15">
      <c r="A19" s="734" t="s">
        <v>389</v>
      </c>
      <c r="B19" s="732" t="s">
        <v>904</v>
      </c>
      <c r="C19" s="732"/>
      <c r="D19" s="732"/>
      <c r="E19" s="732"/>
      <c r="F19" s="731">
        <f>F8+F15-F17-F18</f>
        <v>3570</v>
      </c>
    </row>
    <row r="20" spans="1:6" ht="15">
      <c r="A20" s="730" t="s">
        <v>388</v>
      </c>
      <c r="B20" s="729" t="s">
        <v>903</v>
      </c>
      <c r="C20" s="729"/>
      <c r="D20" s="729"/>
      <c r="E20" s="729"/>
      <c r="F20" s="733">
        <v>0</v>
      </c>
    </row>
    <row r="21" spans="1:6" ht="15">
      <c r="A21" s="730" t="s">
        <v>387</v>
      </c>
      <c r="B21" s="729" t="s">
        <v>902</v>
      </c>
      <c r="C21" s="729"/>
      <c r="D21" s="729"/>
      <c r="E21" s="729"/>
      <c r="F21" s="733">
        <v>-420</v>
      </c>
    </row>
    <row r="22" spans="1:6" ht="15">
      <c r="A22" s="730" t="s">
        <v>530</v>
      </c>
      <c r="B22" s="729" t="s">
        <v>901</v>
      </c>
      <c r="C22" s="729"/>
      <c r="D22" s="729"/>
      <c r="E22" s="729"/>
      <c r="F22" s="733">
        <v>0</v>
      </c>
    </row>
    <row r="23" spans="1:6" ht="15">
      <c r="A23" s="730" t="s">
        <v>386</v>
      </c>
      <c r="B23" s="729" t="s">
        <v>900</v>
      </c>
      <c r="C23" s="729"/>
      <c r="D23" s="729"/>
      <c r="E23" s="729"/>
      <c r="F23" s="733">
        <v>2538</v>
      </c>
    </row>
    <row r="24" spans="1:6" ht="15">
      <c r="A24" s="730" t="s">
        <v>385</v>
      </c>
      <c r="B24" s="729" t="s">
        <v>899</v>
      </c>
      <c r="C24" s="729"/>
      <c r="D24" s="729"/>
      <c r="E24" s="729"/>
      <c r="F24" s="733">
        <v>0</v>
      </c>
    </row>
    <row r="25" spans="1:6" ht="15">
      <c r="A25" s="734" t="s">
        <v>384</v>
      </c>
      <c r="B25" s="732" t="s">
        <v>898</v>
      </c>
      <c r="C25" s="732"/>
      <c r="D25" s="732"/>
      <c r="E25" s="732"/>
      <c r="F25" s="731">
        <f>SUM(F20:G25)</f>
        <v>5688</v>
      </c>
    </row>
    <row r="26" spans="1:6" ht="15">
      <c r="A26" s="730" t="s">
        <v>383</v>
      </c>
      <c r="B26" s="729" t="s">
        <v>897</v>
      </c>
      <c r="C26" s="729"/>
      <c r="D26" s="729"/>
      <c r="E26" s="729"/>
      <c r="F26" s="733">
        <v>0</v>
      </c>
    </row>
    <row r="27" spans="1:6" ht="15">
      <c r="A27" s="730" t="s">
        <v>382</v>
      </c>
      <c r="B27" s="1608" t="s">
        <v>896</v>
      </c>
      <c r="C27" s="1608"/>
      <c r="D27" s="1608"/>
      <c r="E27" s="1608"/>
      <c r="F27" s="733"/>
    </row>
    <row r="28" spans="1:6" ht="15">
      <c r="A28" s="730" t="s">
        <v>381</v>
      </c>
      <c r="B28" s="729" t="s">
        <v>895</v>
      </c>
      <c r="C28" s="729"/>
      <c r="D28" s="729"/>
      <c r="E28" s="729"/>
      <c r="F28" s="733">
        <v>0</v>
      </c>
    </row>
    <row r="29" spans="1:6" ht="15">
      <c r="A29" s="730" t="s">
        <v>380</v>
      </c>
      <c r="B29" s="1608" t="s">
        <v>894</v>
      </c>
      <c r="C29" s="1608"/>
      <c r="D29" s="1608"/>
      <c r="E29" s="1608"/>
      <c r="F29" s="733"/>
    </row>
    <row r="30" spans="1:6" ht="15">
      <c r="A30" s="730" t="s">
        <v>379</v>
      </c>
      <c r="B30" s="732" t="s">
        <v>893</v>
      </c>
      <c r="C30" s="732"/>
      <c r="D30" s="732"/>
      <c r="E30" s="732"/>
      <c r="F30" s="731">
        <f>F25+F26+F28</f>
        <v>5688</v>
      </c>
    </row>
    <row r="31" spans="1:6" ht="12" customHeight="1">
      <c r="A31" s="730" t="s">
        <v>348</v>
      </c>
      <c r="B31" s="729" t="s">
        <v>892</v>
      </c>
      <c r="C31" s="729"/>
      <c r="D31" s="729"/>
      <c r="E31" s="729"/>
      <c r="F31" s="728">
        <v>0</v>
      </c>
    </row>
    <row r="32" spans="1:6" ht="15">
      <c r="A32" s="730" t="s">
        <v>347</v>
      </c>
      <c r="B32" s="729" t="s">
        <v>887</v>
      </c>
      <c r="C32" s="729"/>
      <c r="D32" s="729"/>
      <c r="E32" s="729"/>
      <c r="F32" s="728">
        <v>0</v>
      </c>
    </row>
    <row r="33" spans="1:6" ht="15">
      <c r="A33" s="730" t="s">
        <v>346</v>
      </c>
      <c r="B33" s="729" t="s">
        <v>886</v>
      </c>
      <c r="C33" s="729"/>
      <c r="D33" s="729"/>
      <c r="E33" s="729"/>
      <c r="F33" s="728">
        <v>0</v>
      </c>
    </row>
    <row r="34" spans="1:6" ht="15">
      <c r="A34" s="730" t="s">
        <v>345</v>
      </c>
      <c r="B34" s="729" t="s">
        <v>891</v>
      </c>
      <c r="C34" s="729"/>
      <c r="D34" s="729"/>
      <c r="E34" s="729"/>
      <c r="F34" s="728">
        <v>1366</v>
      </c>
    </row>
    <row r="35" spans="1:6" ht="15">
      <c r="A35" s="730" t="s">
        <v>344</v>
      </c>
      <c r="B35" s="729" t="s">
        <v>887</v>
      </c>
      <c r="C35" s="729"/>
      <c r="D35" s="729"/>
      <c r="E35" s="729"/>
      <c r="F35" s="728">
        <v>1266</v>
      </c>
    </row>
    <row r="36" spans="1:6" ht="15">
      <c r="A36" s="730" t="s">
        <v>343</v>
      </c>
      <c r="B36" s="729" t="s">
        <v>886</v>
      </c>
      <c r="C36" s="729"/>
      <c r="D36" s="729"/>
      <c r="E36" s="729"/>
      <c r="F36" s="728">
        <v>100</v>
      </c>
    </row>
    <row r="37" spans="1:6" ht="15">
      <c r="A37" s="730" t="s">
        <v>342</v>
      </c>
      <c r="B37" s="729" t="s">
        <v>890</v>
      </c>
      <c r="C37" s="729"/>
      <c r="D37" s="729"/>
      <c r="E37" s="729"/>
      <c r="F37" s="728">
        <v>0</v>
      </c>
    </row>
    <row r="38" spans="1:6" ht="15">
      <c r="A38" s="730" t="s">
        <v>341</v>
      </c>
      <c r="B38" s="729" t="s">
        <v>887</v>
      </c>
      <c r="C38" s="729"/>
      <c r="D38" s="729"/>
      <c r="E38" s="729"/>
      <c r="F38" s="728">
        <v>0</v>
      </c>
    </row>
    <row r="39" spans="1:6" ht="15">
      <c r="A39" s="730" t="s">
        <v>340</v>
      </c>
      <c r="B39" s="729" t="s">
        <v>886</v>
      </c>
      <c r="C39" s="729"/>
      <c r="D39" s="729"/>
      <c r="E39" s="729"/>
      <c r="F39" s="728">
        <v>0</v>
      </c>
    </row>
    <row r="40" spans="1:6" ht="15">
      <c r="A40" s="730" t="s">
        <v>339</v>
      </c>
      <c r="B40" s="1608" t="s">
        <v>889</v>
      </c>
      <c r="C40" s="1608"/>
      <c r="D40" s="1608"/>
      <c r="E40" s="1608"/>
      <c r="F40" s="728">
        <v>415</v>
      </c>
    </row>
    <row r="41" spans="1:6" ht="15">
      <c r="A41" s="730" t="s">
        <v>338</v>
      </c>
      <c r="B41" s="729" t="s">
        <v>887</v>
      </c>
      <c r="C41" s="729"/>
      <c r="D41" s="729"/>
      <c r="E41" s="729"/>
      <c r="F41" s="728">
        <v>1294</v>
      </c>
    </row>
    <row r="42" spans="1:6" ht="15">
      <c r="A42" s="730" t="s">
        <v>337</v>
      </c>
      <c r="B42" s="729" t="s">
        <v>886</v>
      </c>
      <c r="C42" s="729"/>
      <c r="D42" s="729"/>
      <c r="E42" s="729"/>
      <c r="F42" s="728">
        <v>0</v>
      </c>
    </row>
    <row r="43" spans="1:6" ht="15">
      <c r="A43" s="730" t="s">
        <v>529</v>
      </c>
      <c r="B43" s="729" t="s">
        <v>888</v>
      </c>
      <c r="C43" s="729"/>
      <c r="D43" s="729"/>
      <c r="E43" s="729"/>
      <c r="F43" s="728">
        <v>1692</v>
      </c>
    </row>
    <row r="44" spans="1:6" ht="15">
      <c r="A44" s="730" t="s">
        <v>528</v>
      </c>
      <c r="B44" s="729" t="s">
        <v>887</v>
      </c>
      <c r="C44" s="729"/>
      <c r="D44" s="729"/>
      <c r="E44" s="729"/>
      <c r="F44" s="728">
        <v>1692</v>
      </c>
    </row>
    <row r="45" spans="1:6" ht="15">
      <c r="A45" s="730" t="s">
        <v>527</v>
      </c>
      <c r="B45" s="729" t="s">
        <v>886</v>
      </c>
      <c r="C45" s="729"/>
      <c r="D45" s="729"/>
      <c r="E45" s="729"/>
      <c r="F45" s="728">
        <v>0</v>
      </c>
    </row>
    <row r="46" spans="1:6" ht="15">
      <c r="A46" s="730" t="s">
        <v>526</v>
      </c>
      <c r="B46" s="729" t="s">
        <v>885</v>
      </c>
      <c r="C46" s="729"/>
      <c r="D46" s="729"/>
      <c r="E46" s="729"/>
      <c r="F46" s="728">
        <v>0</v>
      </c>
    </row>
    <row r="47" spans="1:6" ht="15">
      <c r="A47" s="730" t="s">
        <v>525</v>
      </c>
      <c r="B47" s="729" t="s">
        <v>884</v>
      </c>
      <c r="C47" s="729"/>
      <c r="D47" s="729"/>
      <c r="E47" s="729"/>
      <c r="F47" s="728">
        <v>9275</v>
      </c>
    </row>
    <row r="48" spans="1:6" ht="15">
      <c r="A48" s="730" t="s">
        <v>524</v>
      </c>
      <c r="B48" s="729" t="s">
        <v>883</v>
      </c>
      <c r="C48" s="729"/>
      <c r="D48" s="729"/>
      <c r="E48" s="729"/>
      <c r="F48" s="728">
        <v>0</v>
      </c>
    </row>
  </sheetData>
  <sheetProtection/>
  <mergeCells count="9">
    <mergeCell ref="B29:E29"/>
    <mergeCell ref="B40:E40"/>
    <mergeCell ref="B5:E5"/>
    <mergeCell ref="A1:J1"/>
    <mergeCell ref="B2:F2"/>
    <mergeCell ref="B4:E4"/>
    <mergeCell ref="B8:E8"/>
    <mergeCell ref="B16:E16"/>
    <mergeCell ref="B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I2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27" customWidth="1"/>
  </cols>
  <sheetData>
    <row r="5" ht="15">
      <c r="E5" s="727" t="s">
        <v>940</v>
      </c>
    </row>
    <row r="7" ht="15">
      <c r="C7" s="727" t="s">
        <v>939</v>
      </c>
    </row>
    <row r="10" spans="1:9" ht="15">
      <c r="A10" s="727" t="s">
        <v>924</v>
      </c>
      <c r="I10" s="727">
        <v>1</v>
      </c>
    </row>
    <row r="11" ht="15">
      <c r="A11" s="727" t="s">
        <v>938</v>
      </c>
    </row>
    <row r="12" spans="1:9" ht="15">
      <c r="A12" s="727" t="s">
        <v>923</v>
      </c>
      <c r="I12" s="727">
        <v>37786</v>
      </c>
    </row>
    <row r="13" spans="1:9" ht="15">
      <c r="A13" s="727" t="s">
        <v>922</v>
      </c>
      <c r="I13" s="727">
        <v>37518</v>
      </c>
    </row>
    <row r="14" spans="2:9" ht="15">
      <c r="B14" s="727" t="s">
        <v>929</v>
      </c>
      <c r="I14" s="727">
        <f>I12-I13</f>
        <v>268</v>
      </c>
    </row>
    <row r="15" ht="15">
      <c r="A15" s="727" t="s">
        <v>928</v>
      </c>
    </row>
    <row r="16" spans="1:9" ht="15">
      <c r="A16" s="727" t="s">
        <v>935</v>
      </c>
      <c r="I16" s="727">
        <v>0</v>
      </c>
    </row>
    <row r="19" spans="1:9" ht="15">
      <c r="A19" s="727" t="s">
        <v>934</v>
      </c>
      <c r="I19" s="727">
        <v>0</v>
      </c>
    </row>
    <row r="22" ht="15">
      <c r="A22" s="727" t="s">
        <v>933</v>
      </c>
    </row>
    <row r="23" spans="1:9" ht="15">
      <c r="A23" s="727" t="s">
        <v>932</v>
      </c>
      <c r="I23" s="727">
        <v>0</v>
      </c>
    </row>
    <row r="26" spans="1:9" ht="15">
      <c r="A26" s="727" t="s">
        <v>931</v>
      </c>
      <c r="I26" s="727">
        <v>0</v>
      </c>
    </row>
    <row r="29" spans="1:9" ht="15">
      <c r="A29" s="727" t="s">
        <v>930</v>
      </c>
      <c r="I29" s="727">
        <v>0</v>
      </c>
    </row>
    <row r="32" spans="1:9" ht="15">
      <c r="A32" s="727" t="s">
        <v>927</v>
      </c>
      <c r="I32" s="727">
        <v>0</v>
      </c>
    </row>
    <row r="35" spans="1:9" ht="15">
      <c r="A35" s="727" t="s">
        <v>926</v>
      </c>
      <c r="I35" s="727">
        <v>0</v>
      </c>
    </row>
    <row r="38" spans="1:9" ht="15">
      <c r="A38" s="727" t="s">
        <v>937</v>
      </c>
      <c r="I38" s="727">
        <f>I14-I16-I19-I23-I26-I29-I32-I35</f>
        <v>268</v>
      </c>
    </row>
    <row r="40" ht="15">
      <c r="A40" s="727" t="s">
        <v>925</v>
      </c>
    </row>
    <row r="41" spans="1:9" ht="15">
      <c r="A41" s="727" t="s">
        <v>936</v>
      </c>
      <c r="I41" s="727">
        <f>I38/100*40</f>
        <v>107.2</v>
      </c>
    </row>
    <row r="43" ht="15">
      <c r="I43" s="727">
        <f>I38/100*60</f>
        <v>160.8</v>
      </c>
    </row>
    <row r="56" spans="1:9" ht="15">
      <c r="A56" s="727" t="s">
        <v>924</v>
      </c>
      <c r="I56" s="727">
        <v>2</v>
      </c>
    </row>
    <row r="58" spans="1:9" ht="15">
      <c r="A58" s="727" t="s">
        <v>923</v>
      </c>
      <c r="I58" s="727">
        <v>12503</v>
      </c>
    </row>
    <row r="59" spans="1:9" ht="15">
      <c r="A59" s="727" t="s">
        <v>922</v>
      </c>
      <c r="I59" s="727">
        <v>12503</v>
      </c>
    </row>
    <row r="60" spans="2:9" ht="15">
      <c r="B60" s="727" t="s">
        <v>929</v>
      </c>
      <c r="I60" s="727">
        <f>I58-I59</f>
        <v>0</v>
      </c>
    </row>
    <row r="61" ht="15">
      <c r="A61" s="727" t="s">
        <v>928</v>
      </c>
    </row>
    <row r="62" spans="1:9" ht="15">
      <c r="A62" s="727" t="s">
        <v>935</v>
      </c>
      <c r="I62" s="727">
        <v>0</v>
      </c>
    </row>
    <row r="65" spans="1:9" ht="15">
      <c r="A65" s="727" t="s">
        <v>934</v>
      </c>
      <c r="I65" s="727">
        <v>0</v>
      </c>
    </row>
    <row r="68" ht="15">
      <c r="A68" s="727" t="s">
        <v>933</v>
      </c>
    </row>
    <row r="69" spans="1:9" ht="15">
      <c r="A69" s="727" t="s">
        <v>932</v>
      </c>
      <c r="I69" s="727">
        <v>0</v>
      </c>
    </row>
    <row r="72" spans="1:9" ht="15">
      <c r="A72" s="727" t="s">
        <v>931</v>
      </c>
      <c r="I72" s="727">
        <v>0</v>
      </c>
    </row>
    <row r="75" spans="1:9" ht="15">
      <c r="A75" s="727" t="s">
        <v>930</v>
      </c>
      <c r="I75" s="727">
        <v>0</v>
      </c>
    </row>
    <row r="78" spans="1:9" ht="15">
      <c r="A78" s="727" t="s">
        <v>927</v>
      </c>
      <c r="I78" s="727">
        <v>0</v>
      </c>
    </row>
    <row r="81" spans="1:9" ht="15">
      <c r="A81" s="727" t="s">
        <v>926</v>
      </c>
      <c r="I81" s="727">
        <v>0</v>
      </c>
    </row>
    <row r="84" ht="15">
      <c r="I84" s="727">
        <f>I60-I62-I65-I69-I72-I75-I78-I81</f>
        <v>0</v>
      </c>
    </row>
    <row r="86" ht="15">
      <c r="A86" s="727" t="s">
        <v>925</v>
      </c>
    </row>
    <row r="87" ht="15">
      <c r="I87" s="727">
        <f>I84/100*40</f>
        <v>0</v>
      </c>
    </row>
    <row r="89" ht="15">
      <c r="I89" s="727">
        <f>I84/100*60</f>
        <v>0</v>
      </c>
    </row>
    <row r="111" spans="1:9" ht="15">
      <c r="A111" s="727" t="s">
        <v>924</v>
      </c>
      <c r="I111" s="727">
        <v>3</v>
      </c>
    </row>
    <row r="113" spans="1:9" ht="15">
      <c r="A113" s="727" t="s">
        <v>923</v>
      </c>
      <c r="I113" s="727">
        <v>15548</v>
      </c>
    </row>
    <row r="114" spans="1:9" ht="15">
      <c r="A114" s="727" t="s">
        <v>922</v>
      </c>
      <c r="I114" s="727">
        <v>13271</v>
      </c>
    </row>
    <row r="115" spans="2:9" ht="15">
      <c r="B115" s="727" t="s">
        <v>929</v>
      </c>
      <c r="I115" s="727">
        <f>I113-I114</f>
        <v>2277</v>
      </c>
    </row>
    <row r="116" ht="15">
      <c r="A116" s="727" t="s">
        <v>928</v>
      </c>
    </row>
    <row r="117" spans="1:9" ht="15">
      <c r="A117" s="727" t="s">
        <v>935</v>
      </c>
      <c r="I117" s="727">
        <v>0</v>
      </c>
    </row>
    <row r="120" spans="1:9" ht="15">
      <c r="A120" s="727" t="s">
        <v>934</v>
      </c>
      <c r="I120" s="727">
        <v>0</v>
      </c>
    </row>
    <row r="123" ht="15">
      <c r="A123" s="727" t="s">
        <v>933</v>
      </c>
    </row>
    <row r="124" spans="1:9" ht="15">
      <c r="A124" s="727" t="s">
        <v>932</v>
      </c>
      <c r="I124" s="727">
        <v>0</v>
      </c>
    </row>
    <row r="127" spans="1:9" ht="15">
      <c r="A127" s="727" t="s">
        <v>931</v>
      </c>
      <c r="I127" s="727">
        <v>0</v>
      </c>
    </row>
    <row r="130" ht="15">
      <c r="I130" s="727">
        <f>F136</f>
        <v>2396</v>
      </c>
    </row>
    <row r="131" spans="4:6" ht="15">
      <c r="D131" s="727">
        <v>7512</v>
      </c>
      <c r="E131" s="727">
        <v>6087</v>
      </c>
      <c r="F131" s="727">
        <f>D131-E131</f>
        <v>1425</v>
      </c>
    </row>
    <row r="132" spans="4:6" ht="15">
      <c r="D132" s="727">
        <v>1200</v>
      </c>
      <c r="E132" s="727">
        <v>730</v>
      </c>
      <c r="F132" s="727">
        <f>D132-E132</f>
        <v>470</v>
      </c>
    </row>
    <row r="133" spans="4:6" ht="15">
      <c r="D133" s="727">
        <v>500</v>
      </c>
      <c r="E133" s="727">
        <v>304</v>
      </c>
      <c r="F133" s="727">
        <f>D133-E133</f>
        <v>196</v>
      </c>
    </row>
    <row r="134" spans="4:6" ht="15">
      <c r="D134" s="727">
        <v>250</v>
      </c>
      <c r="E134" s="727">
        <v>297</v>
      </c>
      <c r="F134" s="727">
        <v>0</v>
      </c>
    </row>
    <row r="135" spans="4:6" ht="15">
      <c r="D135" s="727">
        <v>2406</v>
      </c>
      <c r="E135" s="727">
        <v>2101</v>
      </c>
      <c r="F135" s="727">
        <f>D135-E135</f>
        <v>305</v>
      </c>
    </row>
    <row r="136" spans="4:6" ht="15">
      <c r="D136" s="727">
        <f>D131+D132+D133+D134+D135</f>
        <v>11868</v>
      </c>
      <c r="E136" s="727">
        <f>E131+E132+E133+E134+E135</f>
        <v>9519</v>
      </c>
      <c r="F136" s="727">
        <f>F131+F132+F133+F134+F135</f>
        <v>2396</v>
      </c>
    </row>
    <row r="138" ht="15">
      <c r="A138" s="727" t="s">
        <v>927</v>
      </c>
    </row>
    <row r="141" ht="15">
      <c r="A141" s="727" t="s">
        <v>926</v>
      </c>
    </row>
    <row r="144" ht="15">
      <c r="I144" s="727">
        <f>I115-I117-I120-I124-I127-I130-I138-I141</f>
        <v>-119</v>
      </c>
    </row>
    <row r="147" ht="15">
      <c r="I147" s="727">
        <f>I144</f>
        <v>-119</v>
      </c>
    </row>
    <row r="166" spans="1:9" ht="15">
      <c r="A166" s="727" t="s">
        <v>924</v>
      </c>
      <c r="I166" s="727">
        <v>4</v>
      </c>
    </row>
    <row r="168" spans="1:9" ht="15">
      <c r="A168" s="727" t="s">
        <v>923</v>
      </c>
      <c r="I168" s="727">
        <v>443</v>
      </c>
    </row>
    <row r="169" spans="1:9" ht="15">
      <c r="A169" s="727" t="s">
        <v>922</v>
      </c>
      <c r="I169" s="727">
        <v>25</v>
      </c>
    </row>
    <row r="170" spans="2:9" ht="15">
      <c r="B170" s="727" t="s">
        <v>929</v>
      </c>
      <c r="I170" s="727">
        <f>I168-I169</f>
        <v>418</v>
      </c>
    </row>
    <row r="171" ht="15">
      <c r="A171" s="727" t="s">
        <v>928</v>
      </c>
    </row>
    <row r="172" ht="15">
      <c r="A172" s="727" t="s">
        <v>935</v>
      </c>
    </row>
    <row r="175" spans="1:9" ht="15">
      <c r="A175" s="727" t="s">
        <v>934</v>
      </c>
      <c r="I175" s="727">
        <v>418</v>
      </c>
    </row>
    <row r="178" ht="15">
      <c r="A178" s="727" t="s">
        <v>933</v>
      </c>
    </row>
    <row r="179" ht="15">
      <c r="A179" s="727" t="s">
        <v>932</v>
      </c>
    </row>
    <row r="182" ht="15">
      <c r="A182" s="727" t="s">
        <v>931</v>
      </c>
    </row>
    <row r="185" ht="15">
      <c r="A185" s="727" t="s">
        <v>930</v>
      </c>
    </row>
    <row r="188" ht="15">
      <c r="A188" s="727" t="s">
        <v>927</v>
      </c>
    </row>
    <row r="191" ht="15">
      <c r="A191" s="727" t="s">
        <v>926</v>
      </c>
    </row>
    <row r="194" ht="15">
      <c r="I194" s="727">
        <f>I170-I172-I175-I179-I182-I185-I188-I191</f>
        <v>0</v>
      </c>
    </row>
    <row r="196" ht="15">
      <c r="A196" s="727" t="s">
        <v>925</v>
      </c>
    </row>
    <row r="197" ht="15">
      <c r="I197" s="727">
        <f>I194</f>
        <v>0</v>
      </c>
    </row>
    <row r="221" spans="1:9" ht="15">
      <c r="A221" s="727" t="s">
        <v>924</v>
      </c>
      <c r="I221" s="727">
        <v>5</v>
      </c>
    </row>
    <row r="223" ht="15">
      <c r="A223" s="727" t="s">
        <v>923</v>
      </c>
    </row>
    <row r="224" ht="15">
      <c r="A224" s="727" t="s">
        <v>922</v>
      </c>
    </row>
    <row r="225" spans="2:9" ht="15">
      <c r="B225" s="727" t="s">
        <v>929</v>
      </c>
      <c r="I225" s="727">
        <f>I223-I224</f>
        <v>0</v>
      </c>
    </row>
    <row r="226" ht="15">
      <c r="A226" s="727" t="s">
        <v>928</v>
      </c>
    </row>
    <row r="243" ht="15">
      <c r="A243" s="727" t="s">
        <v>927</v>
      </c>
    </row>
    <row r="246" ht="15">
      <c r="A246" s="727" t="s">
        <v>926</v>
      </c>
    </row>
    <row r="249" ht="15">
      <c r="I249" s="727">
        <f>I225-I227-I230-I234-I237-I240-I243-I246</f>
        <v>0</v>
      </c>
    </row>
    <row r="252" ht="15">
      <c r="A252" s="727" t="s">
        <v>925</v>
      </c>
    </row>
    <row r="256" ht="15">
      <c r="I256" s="727">
        <f>I38+I84+I144+I194+I249</f>
        <v>149</v>
      </c>
    </row>
    <row r="258" ht="15">
      <c r="I258" s="727">
        <f>I41+I87</f>
        <v>107.2</v>
      </c>
    </row>
    <row r="259" ht="15">
      <c r="I259" s="727">
        <f>I253+I197+I147+I89+I43</f>
        <v>41.80000000000001</v>
      </c>
    </row>
    <row r="261" spans="1:9" ht="15">
      <c r="A261" s="727" t="s">
        <v>924</v>
      </c>
      <c r="I261" s="727">
        <v>6</v>
      </c>
    </row>
    <row r="263" spans="1:9" ht="15">
      <c r="A263" s="727" t="s">
        <v>923</v>
      </c>
      <c r="I263" s="727">
        <v>3952</v>
      </c>
    </row>
    <row r="264" spans="1:9" ht="15">
      <c r="A264" s="727" t="s">
        <v>922</v>
      </c>
      <c r="I264" s="727">
        <v>3040</v>
      </c>
    </row>
    <row r="265" ht="15">
      <c r="I265" s="727">
        <f>I264-I263</f>
        <v>-912</v>
      </c>
    </row>
    <row r="268" ht="15">
      <c r="I268" s="727">
        <f>I265-I266</f>
        <v>-912</v>
      </c>
    </row>
    <row r="270" ht="15">
      <c r="I270" s="727">
        <f>I268+I256</f>
        <v>-763</v>
      </c>
    </row>
    <row r="272" ht="15">
      <c r="I272" s="727">
        <f>I258</f>
        <v>107.2</v>
      </c>
    </row>
    <row r="273" ht="15">
      <c r="I273" s="727">
        <f>I259+I268</f>
        <v>-870.2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2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27" customWidth="1"/>
  </cols>
  <sheetData>
    <row r="4" ht="15">
      <c r="C4" s="727" t="s">
        <v>941</v>
      </c>
    </row>
    <row r="6" ht="15">
      <c r="E6" s="727" t="s">
        <v>940</v>
      </c>
    </row>
    <row r="8" ht="15">
      <c r="C8" s="727" t="s">
        <v>939</v>
      </c>
    </row>
    <row r="11" spans="1:9" ht="15">
      <c r="A11" s="727" t="s">
        <v>924</v>
      </c>
      <c r="I11" s="727">
        <v>1</v>
      </c>
    </row>
    <row r="12" ht="15">
      <c r="A12" s="727" t="s">
        <v>938</v>
      </c>
    </row>
    <row r="13" spans="1:9" ht="15">
      <c r="A13" s="727" t="s">
        <v>923</v>
      </c>
      <c r="I13" s="727">
        <v>71253</v>
      </c>
    </row>
    <row r="14" spans="1:9" ht="15">
      <c r="A14" s="727" t="s">
        <v>922</v>
      </c>
      <c r="I14" s="727">
        <v>71253</v>
      </c>
    </row>
    <row r="15" spans="2:9" ht="15">
      <c r="B15" s="727" t="s">
        <v>929</v>
      </c>
      <c r="I15" s="727">
        <f>I13-I14</f>
        <v>0</v>
      </c>
    </row>
    <row r="16" ht="15">
      <c r="A16" s="727" t="s">
        <v>928</v>
      </c>
    </row>
    <row r="17" ht="15">
      <c r="A17" s="727" t="s">
        <v>935</v>
      </c>
    </row>
    <row r="20" ht="15">
      <c r="A20" s="727" t="s">
        <v>934</v>
      </c>
    </row>
    <row r="23" ht="15">
      <c r="A23" s="727" t="s">
        <v>933</v>
      </c>
    </row>
    <row r="24" ht="15">
      <c r="A24" s="727" t="s">
        <v>932</v>
      </c>
    </row>
    <row r="27" ht="15">
      <c r="A27" s="727" t="s">
        <v>931</v>
      </c>
    </row>
    <row r="30" ht="15">
      <c r="A30" s="727" t="s">
        <v>930</v>
      </c>
    </row>
    <row r="33" ht="15">
      <c r="A33" s="727" t="s">
        <v>927</v>
      </c>
    </row>
    <row r="36" ht="15">
      <c r="A36" s="727" t="s">
        <v>926</v>
      </c>
    </row>
    <row r="39" spans="1:9" ht="15">
      <c r="A39" s="727" t="s">
        <v>937</v>
      </c>
      <c r="I39" s="727">
        <f>I15-I17-I20-I24-I27-I30-I33-I36</f>
        <v>0</v>
      </c>
    </row>
    <row r="41" ht="15">
      <c r="A41" s="727" t="s">
        <v>925</v>
      </c>
    </row>
    <row r="42" spans="1:9" ht="15">
      <c r="A42" s="727" t="s">
        <v>936</v>
      </c>
      <c r="I42" s="727">
        <f>I39/100*40</f>
        <v>0</v>
      </c>
    </row>
    <row r="44" ht="15">
      <c r="I44" s="727">
        <f>I39/100*60</f>
        <v>0</v>
      </c>
    </row>
    <row r="56" spans="1:9" ht="15">
      <c r="A56" s="727" t="s">
        <v>924</v>
      </c>
      <c r="I56" s="727">
        <v>2</v>
      </c>
    </row>
    <row r="58" spans="1:9" ht="15">
      <c r="A58" s="727" t="s">
        <v>923</v>
      </c>
      <c r="I58" s="727">
        <v>22027</v>
      </c>
    </row>
    <row r="59" spans="1:9" ht="15">
      <c r="A59" s="727" t="s">
        <v>922</v>
      </c>
      <c r="I59" s="727">
        <v>21945</v>
      </c>
    </row>
    <row r="60" spans="2:9" ht="15">
      <c r="B60" s="727" t="s">
        <v>929</v>
      </c>
      <c r="I60" s="727">
        <f>I58-I59</f>
        <v>82</v>
      </c>
    </row>
    <row r="61" ht="15">
      <c r="A61" s="727" t="s">
        <v>928</v>
      </c>
    </row>
    <row r="62" ht="15">
      <c r="A62" s="727" t="s">
        <v>935</v>
      </c>
    </row>
    <row r="65" spans="1:9" ht="15">
      <c r="A65" s="727" t="s">
        <v>934</v>
      </c>
      <c r="I65" s="727">
        <v>82</v>
      </c>
    </row>
    <row r="68" ht="15">
      <c r="A68" s="727" t="s">
        <v>933</v>
      </c>
    </row>
    <row r="69" ht="15">
      <c r="A69" s="727" t="s">
        <v>932</v>
      </c>
    </row>
    <row r="72" ht="15">
      <c r="A72" s="727" t="s">
        <v>931</v>
      </c>
    </row>
    <row r="75" ht="15">
      <c r="A75" s="727" t="s">
        <v>930</v>
      </c>
    </row>
    <row r="78" ht="15">
      <c r="A78" s="727" t="s">
        <v>927</v>
      </c>
    </row>
    <row r="81" ht="15">
      <c r="A81" s="727" t="s">
        <v>926</v>
      </c>
    </row>
    <row r="84" ht="15">
      <c r="I84" s="727">
        <f>I60-I62-I65-I69-I72-I75-I78-I81</f>
        <v>0</v>
      </c>
    </row>
    <row r="86" ht="15">
      <c r="A86" s="727" t="s">
        <v>925</v>
      </c>
    </row>
    <row r="87" ht="15">
      <c r="I87" s="727">
        <f>I84/100*40</f>
        <v>0</v>
      </c>
    </row>
    <row r="89" ht="15">
      <c r="I89" s="727">
        <f>I84/100*60</f>
        <v>0</v>
      </c>
    </row>
    <row r="117" ht="15">
      <c r="A117" s="727" t="s">
        <v>935</v>
      </c>
    </row>
    <row r="120" ht="15">
      <c r="A120" s="727" t="s">
        <v>934</v>
      </c>
    </row>
    <row r="123" ht="15">
      <c r="A123" s="727" t="s">
        <v>933</v>
      </c>
    </row>
    <row r="124" ht="15">
      <c r="A124" s="727" t="s">
        <v>932</v>
      </c>
    </row>
    <row r="127" ht="15">
      <c r="A127" s="727" t="s">
        <v>931</v>
      </c>
    </row>
    <row r="130" ht="15">
      <c r="I130" s="727">
        <f>F136</f>
        <v>1235</v>
      </c>
    </row>
    <row r="131" spans="4:6" ht="15">
      <c r="D131" s="727">
        <v>5675</v>
      </c>
      <c r="E131" s="727">
        <v>5630</v>
      </c>
      <c r="F131" s="727">
        <f>D131-E131</f>
        <v>45</v>
      </c>
    </row>
    <row r="132" spans="4:6" ht="15">
      <c r="D132" s="727">
        <v>5000</v>
      </c>
      <c r="E132" s="727">
        <v>3810</v>
      </c>
      <c r="F132" s="727">
        <f>D132-E132</f>
        <v>1190</v>
      </c>
    </row>
    <row r="133" spans="4:6" ht="15">
      <c r="D133" s="727">
        <v>930</v>
      </c>
      <c r="E133" s="727">
        <v>1149</v>
      </c>
      <c r="F133" s="727">
        <v>0</v>
      </c>
    </row>
    <row r="134" spans="4:6" ht="15">
      <c r="D134" s="727">
        <v>250</v>
      </c>
      <c r="E134" s="727">
        <v>480</v>
      </c>
      <c r="F134" s="727">
        <v>0</v>
      </c>
    </row>
    <row r="135" spans="4:6" ht="15">
      <c r="D135" s="727">
        <v>2494</v>
      </c>
      <c r="E135" s="727">
        <v>2898</v>
      </c>
      <c r="F135" s="727">
        <v>0</v>
      </c>
    </row>
    <row r="136" spans="4:6" ht="15">
      <c r="D136" s="727">
        <f>D131+D132+D133+D134+D135</f>
        <v>14349</v>
      </c>
      <c r="E136" s="727">
        <f>E131+E132+E133+E134+E135</f>
        <v>13967</v>
      </c>
      <c r="F136" s="727">
        <f>F131+F132+F133+F134+F135</f>
        <v>1235</v>
      </c>
    </row>
    <row r="139" ht="15">
      <c r="A139" s="727" t="s">
        <v>927</v>
      </c>
    </row>
    <row r="142" ht="15">
      <c r="A142" s="727" t="s">
        <v>926</v>
      </c>
    </row>
    <row r="145" ht="15">
      <c r="I145" s="727">
        <f>I115-I117-I120-I123-I127-I130-I139-I142</f>
        <v>-1235</v>
      </c>
    </row>
    <row r="148" ht="15">
      <c r="I148" s="727">
        <f>I145</f>
        <v>-1235</v>
      </c>
    </row>
    <row r="166" ht="15">
      <c r="A166" s="727" t="s">
        <v>924</v>
      </c>
    </row>
    <row r="168" spans="1:9" ht="15">
      <c r="A168" s="727" t="s">
        <v>923</v>
      </c>
      <c r="I168" s="727">
        <v>751</v>
      </c>
    </row>
    <row r="169" spans="1:9" ht="15">
      <c r="A169" s="727" t="s">
        <v>922</v>
      </c>
      <c r="I169" s="727">
        <v>751</v>
      </c>
    </row>
    <row r="170" spans="2:9" ht="15">
      <c r="B170" s="727" t="s">
        <v>929</v>
      </c>
      <c r="I170" s="727">
        <f>I168-I169</f>
        <v>0</v>
      </c>
    </row>
    <row r="171" ht="15">
      <c r="A171" s="727" t="s">
        <v>928</v>
      </c>
    </row>
    <row r="172" ht="15">
      <c r="A172" s="727" t="s">
        <v>935</v>
      </c>
    </row>
    <row r="175" ht="15">
      <c r="A175" s="727" t="s">
        <v>934</v>
      </c>
    </row>
    <row r="178" ht="15">
      <c r="A178" s="727" t="s">
        <v>933</v>
      </c>
    </row>
    <row r="179" ht="15">
      <c r="A179" s="727" t="s">
        <v>932</v>
      </c>
    </row>
    <row r="182" ht="15">
      <c r="A182" s="727" t="s">
        <v>931</v>
      </c>
    </row>
    <row r="185" ht="15">
      <c r="A185" s="727" t="s">
        <v>930</v>
      </c>
    </row>
    <row r="188" ht="15">
      <c r="A188" s="727" t="s">
        <v>927</v>
      </c>
    </row>
    <row r="191" ht="15">
      <c r="A191" s="727" t="s">
        <v>926</v>
      </c>
    </row>
    <row r="194" ht="15">
      <c r="I194" s="727">
        <f>I170-I172-I175-I178-I182-I185-I188-I191</f>
        <v>0</v>
      </c>
    </row>
    <row r="196" ht="15">
      <c r="A196" s="727" t="s">
        <v>925</v>
      </c>
    </row>
    <row r="197" ht="15">
      <c r="I197" s="727">
        <f>I194</f>
        <v>0</v>
      </c>
    </row>
    <row r="221" ht="15">
      <c r="A221" s="727" t="s">
        <v>924</v>
      </c>
    </row>
    <row r="223" ht="15">
      <c r="A223" s="727" t="s">
        <v>923</v>
      </c>
    </row>
    <row r="224" ht="15">
      <c r="A224" s="727" t="s">
        <v>922</v>
      </c>
    </row>
    <row r="225" spans="2:9" ht="15">
      <c r="B225" s="727" t="s">
        <v>929</v>
      </c>
      <c r="I225" s="727">
        <f>I223-I224</f>
        <v>0</v>
      </c>
    </row>
    <row r="226" ht="15">
      <c r="A226" s="727" t="s">
        <v>928</v>
      </c>
    </row>
    <row r="227" ht="15">
      <c r="A227" s="727" t="s">
        <v>935</v>
      </c>
    </row>
    <row r="230" ht="15">
      <c r="A230" s="727" t="s">
        <v>934</v>
      </c>
    </row>
    <row r="233" ht="15">
      <c r="A233" s="727" t="s">
        <v>933</v>
      </c>
    </row>
    <row r="234" ht="15">
      <c r="A234" s="727" t="s">
        <v>932</v>
      </c>
    </row>
    <row r="237" ht="15">
      <c r="A237" s="727" t="s">
        <v>931</v>
      </c>
    </row>
    <row r="240" ht="15">
      <c r="A240" s="727" t="s">
        <v>930</v>
      </c>
    </row>
    <row r="255" ht="15">
      <c r="I255" s="727">
        <f>I249+I194+I145+I84+I39</f>
        <v>-1235</v>
      </c>
    </row>
    <row r="257" ht="15">
      <c r="I257" s="727">
        <f>I87+I42</f>
        <v>0</v>
      </c>
    </row>
    <row r="258" ht="15">
      <c r="I258" s="727">
        <f>I252+I197+I148+I89+I44</f>
        <v>-1235</v>
      </c>
    </row>
    <row r="260" ht="15">
      <c r="A260" s="727" t="s">
        <v>924</v>
      </c>
    </row>
    <row r="262" spans="1:9" ht="15">
      <c r="A262" s="727" t="s">
        <v>923</v>
      </c>
      <c r="I262" s="727">
        <v>3825</v>
      </c>
    </row>
    <row r="263" spans="1:9" ht="15">
      <c r="A263" s="727" t="s">
        <v>922</v>
      </c>
      <c r="I263" s="727">
        <v>4759</v>
      </c>
    </row>
    <row r="264" ht="15">
      <c r="I264" s="727">
        <f>I263-I262</f>
        <v>934</v>
      </c>
    </row>
    <row r="266" ht="15">
      <c r="I266" s="727">
        <v>554</v>
      </c>
    </row>
    <row r="267" ht="15">
      <c r="I267" s="727">
        <f>I264-I266</f>
        <v>380</v>
      </c>
    </row>
    <row r="269" ht="15">
      <c r="I269" s="727">
        <f>I267+I255</f>
        <v>-855</v>
      </c>
    </row>
    <row r="271" ht="15">
      <c r="I271" s="727">
        <f>I257</f>
        <v>0</v>
      </c>
    </row>
    <row r="272" ht="15">
      <c r="I272" s="727">
        <f>I267+I258</f>
        <v>-855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5:I2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27" customWidth="1"/>
  </cols>
  <sheetData>
    <row r="5" ht="15">
      <c r="E5" s="727" t="s">
        <v>940</v>
      </c>
    </row>
    <row r="7" ht="15">
      <c r="C7" s="727" t="s">
        <v>939</v>
      </c>
    </row>
    <row r="10" spans="1:9" ht="15">
      <c r="A10" s="727" t="s">
        <v>924</v>
      </c>
      <c r="I10" s="727">
        <v>1</v>
      </c>
    </row>
    <row r="11" ht="15">
      <c r="A11" s="727" t="s">
        <v>938</v>
      </c>
    </row>
    <row r="12" spans="1:9" ht="15">
      <c r="A12" s="727" t="s">
        <v>923</v>
      </c>
      <c r="I12" s="727">
        <v>11007</v>
      </c>
    </row>
    <row r="13" spans="1:9" ht="15">
      <c r="A13" s="727" t="s">
        <v>922</v>
      </c>
      <c r="I13" s="727">
        <v>9997</v>
      </c>
    </row>
    <row r="14" spans="2:9" ht="15">
      <c r="B14" s="727" t="s">
        <v>929</v>
      </c>
      <c r="I14" s="727">
        <f>I12-I13</f>
        <v>1010</v>
      </c>
    </row>
    <row r="15" ht="15">
      <c r="A15" s="727" t="s">
        <v>928</v>
      </c>
    </row>
    <row r="16" spans="1:9" ht="15">
      <c r="A16" s="727" t="s">
        <v>935</v>
      </c>
      <c r="I16" s="727">
        <v>0</v>
      </c>
    </row>
    <row r="19" spans="1:9" ht="15">
      <c r="A19" s="727" t="s">
        <v>934</v>
      </c>
      <c r="I19" s="727">
        <v>0</v>
      </c>
    </row>
    <row r="22" ht="15">
      <c r="A22" s="727" t="s">
        <v>933</v>
      </c>
    </row>
    <row r="23" spans="1:9" ht="15">
      <c r="A23" s="727" t="s">
        <v>932</v>
      </c>
      <c r="I23" s="727">
        <v>0</v>
      </c>
    </row>
    <row r="26" spans="1:9" ht="15">
      <c r="A26" s="727" t="s">
        <v>931</v>
      </c>
      <c r="I26" s="727">
        <v>0</v>
      </c>
    </row>
    <row r="29" spans="1:9" ht="15">
      <c r="A29" s="727" t="s">
        <v>930</v>
      </c>
      <c r="I29" s="727">
        <v>0</v>
      </c>
    </row>
    <row r="32" spans="1:9" ht="15">
      <c r="A32" s="727" t="s">
        <v>927</v>
      </c>
      <c r="I32" s="727">
        <v>0</v>
      </c>
    </row>
    <row r="35" spans="1:9" ht="15">
      <c r="A35" s="727" t="s">
        <v>926</v>
      </c>
      <c r="I35" s="727">
        <v>0</v>
      </c>
    </row>
    <row r="38" spans="1:9" ht="15">
      <c r="A38" s="727" t="s">
        <v>937</v>
      </c>
      <c r="I38" s="727">
        <f>I14-I16-I19-I23-I26-I29-I32-I35</f>
        <v>1010</v>
      </c>
    </row>
    <row r="40" ht="15">
      <c r="A40" s="727" t="s">
        <v>925</v>
      </c>
    </row>
    <row r="41" spans="1:9" ht="15">
      <c r="A41" s="727" t="s">
        <v>936</v>
      </c>
      <c r="I41" s="727">
        <f>I38/100*40</f>
        <v>404</v>
      </c>
    </row>
    <row r="43" ht="15">
      <c r="I43" s="727">
        <f>I38/100*60</f>
        <v>606</v>
      </c>
    </row>
    <row r="58" spans="1:9" ht="15">
      <c r="A58" s="727" t="s">
        <v>924</v>
      </c>
      <c r="I58" s="727">
        <v>2</v>
      </c>
    </row>
    <row r="60" spans="1:9" ht="15">
      <c r="A60" s="727" t="s">
        <v>923</v>
      </c>
      <c r="I60" s="727">
        <v>3148</v>
      </c>
    </row>
    <row r="61" spans="1:9" ht="15">
      <c r="A61" s="727" t="s">
        <v>922</v>
      </c>
      <c r="I61" s="727">
        <v>2788</v>
      </c>
    </row>
    <row r="62" spans="2:9" ht="15">
      <c r="B62" s="727" t="s">
        <v>929</v>
      </c>
      <c r="I62" s="727">
        <f>I60-I61</f>
        <v>360</v>
      </c>
    </row>
    <row r="63" ht="15">
      <c r="A63" s="727" t="s">
        <v>928</v>
      </c>
    </row>
    <row r="64" spans="1:9" ht="15">
      <c r="A64" s="727" t="s">
        <v>935</v>
      </c>
      <c r="I64" s="727">
        <v>0</v>
      </c>
    </row>
    <row r="67" spans="1:9" ht="15">
      <c r="A67" s="727" t="s">
        <v>934</v>
      </c>
      <c r="I67" s="727">
        <v>38</v>
      </c>
    </row>
    <row r="70" ht="15">
      <c r="A70" s="727" t="s">
        <v>933</v>
      </c>
    </row>
    <row r="71" spans="1:9" ht="15">
      <c r="A71" s="727" t="s">
        <v>932</v>
      </c>
      <c r="I71" s="727">
        <v>0</v>
      </c>
    </row>
    <row r="74" spans="1:9" ht="15">
      <c r="A74" s="727" t="s">
        <v>931</v>
      </c>
      <c r="I74" s="727">
        <v>0</v>
      </c>
    </row>
    <row r="77" spans="1:9" ht="15">
      <c r="A77" s="727" t="s">
        <v>930</v>
      </c>
      <c r="I77" s="727">
        <v>0</v>
      </c>
    </row>
    <row r="80" spans="1:9" ht="15">
      <c r="A80" s="727" t="s">
        <v>927</v>
      </c>
      <c r="I80" s="727">
        <v>0</v>
      </c>
    </row>
    <row r="83" spans="1:9" ht="15">
      <c r="A83" s="727" t="s">
        <v>926</v>
      </c>
      <c r="I83" s="727">
        <v>0</v>
      </c>
    </row>
    <row r="86" ht="15">
      <c r="I86" s="727">
        <f>I62-I64-I67-I71-I74-I77-I80-I83</f>
        <v>322</v>
      </c>
    </row>
    <row r="88" ht="15">
      <c r="A88" s="727" t="s">
        <v>925</v>
      </c>
    </row>
    <row r="89" ht="15">
      <c r="I89" s="727">
        <f>I86/100*40</f>
        <v>128.8</v>
      </c>
    </row>
    <row r="91" ht="15">
      <c r="I91" s="727">
        <f>I86/100*60</f>
        <v>193.20000000000002</v>
      </c>
    </row>
    <row r="116" ht="15">
      <c r="I116" s="727">
        <v>3</v>
      </c>
    </row>
    <row r="117" ht="15">
      <c r="A117" s="727" t="s">
        <v>924</v>
      </c>
    </row>
    <row r="118" ht="15">
      <c r="I118" s="727">
        <v>11323</v>
      </c>
    </row>
    <row r="119" spans="1:9" ht="15">
      <c r="A119" s="727" t="s">
        <v>923</v>
      </c>
      <c r="I119" s="727">
        <v>10220</v>
      </c>
    </row>
    <row r="120" spans="1:9" ht="15">
      <c r="A120" s="727" t="s">
        <v>922</v>
      </c>
      <c r="I120" s="727">
        <f>I118-I119</f>
        <v>1103</v>
      </c>
    </row>
    <row r="121" ht="15">
      <c r="B121" s="727" t="s">
        <v>929</v>
      </c>
    </row>
    <row r="122" spans="1:9" ht="15">
      <c r="A122" s="727" t="s">
        <v>928</v>
      </c>
      <c r="I122" s="727">
        <v>0</v>
      </c>
    </row>
    <row r="123" ht="15">
      <c r="A123" s="727" t="s">
        <v>935</v>
      </c>
    </row>
    <row r="125" ht="15">
      <c r="I125" s="727">
        <v>836</v>
      </c>
    </row>
    <row r="126" ht="15">
      <c r="A126" s="727" t="s">
        <v>934</v>
      </c>
    </row>
    <row r="130" ht="15">
      <c r="A130" s="727" t="s">
        <v>932</v>
      </c>
    </row>
    <row r="132" ht="15">
      <c r="I132" s="727">
        <v>0</v>
      </c>
    </row>
    <row r="133" ht="15">
      <c r="A133" s="727" t="s">
        <v>931</v>
      </c>
    </row>
    <row r="135" ht="15">
      <c r="I135" s="727">
        <f>F142</f>
        <v>577</v>
      </c>
    </row>
    <row r="137" ht="15">
      <c r="F137" s="727">
        <f>D137-E137</f>
        <v>0</v>
      </c>
    </row>
    <row r="138" spans="4:6" ht="15">
      <c r="D138" s="727">
        <v>800</v>
      </c>
      <c r="E138" s="727">
        <v>552</v>
      </c>
      <c r="F138" s="727">
        <f>D138-E138</f>
        <v>248</v>
      </c>
    </row>
    <row r="139" spans="4:6" ht="15">
      <c r="D139" s="727">
        <v>600</v>
      </c>
      <c r="E139" s="727">
        <v>704</v>
      </c>
      <c r="F139" s="727">
        <v>0</v>
      </c>
    </row>
    <row r="140" spans="4:6" ht="15">
      <c r="D140" s="727">
        <v>150</v>
      </c>
      <c r="E140" s="727">
        <v>11</v>
      </c>
      <c r="F140" s="727">
        <f>D140-E140</f>
        <v>139</v>
      </c>
    </row>
    <row r="141" spans="4:6" ht="15">
      <c r="D141" s="727">
        <v>1438</v>
      </c>
      <c r="E141" s="727">
        <v>1248</v>
      </c>
      <c r="F141" s="727">
        <f>D141-E141</f>
        <v>190</v>
      </c>
    </row>
    <row r="142" spans="4:6" ht="15">
      <c r="D142" s="727">
        <f>D137+D138+D139+D140+D141</f>
        <v>2988</v>
      </c>
      <c r="E142" s="727">
        <f>E137+E138+E139+E140+E141</f>
        <v>2515</v>
      </c>
      <c r="F142" s="727">
        <f>F137+F138+F139+F140+F141</f>
        <v>577</v>
      </c>
    </row>
    <row r="144" ht="15">
      <c r="I144" s="727">
        <v>0</v>
      </c>
    </row>
    <row r="145" ht="15">
      <c r="A145" s="727" t="s">
        <v>927</v>
      </c>
    </row>
    <row r="147" ht="15">
      <c r="I147" s="727">
        <v>0</v>
      </c>
    </row>
    <row r="148" ht="15">
      <c r="A148" s="727" t="s">
        <v>926</v>
      </c>
    </row>
    <row r="150" ht="15">
      <c r="I150" s="727">
        <f>I120-I122-I125-I129-I132-I135-I144-I147</f>
        <v>-310</v>
      </c>
    </row>
    <row r="153" ht="15">
      <c r="I153" s="727">
        <f>I150</f>
        <v>-310</v>
      </c>
    </row>
    <row r="174" ht="15">
      <c r="I174" s="727">
        <v>4</v>
      </c>
    </row>
    <row r="175" ht="15">
      <c r="A175" s="727" t="s">
        <v>924</v>
      </c>
    </row>
    <row r="176" ht="15">
      <c r="I176" s="727">
        <v>744</v>
      </c>
    </row>
    <row r="177" spans="1:9" ht="15">
      <c r="A177" s="727" t="s">
        <v>923</v>
      </c>
      <c r="I177" s="727">
        <v>1036</v>
      </c>
    </row>
    <row r="178" spans="1:9" ht="15">
      <c r="A178" s="727" t="s">
        <v>922</v>
      </c>
      <c r="I178" s="727">
        <f>I176-I177</f>
        <v>-292</v>
      </c>
    </row>
    <row r="179" ht="15">
      <c r="B179" s="727" t="s">
        <v>929</v>
      </c>
    </row>
    <row r="180" spans="1:9" ht="15">
      <c r="A180" s="727" t="s">
        <v>928</v>
      </c>
      <c r="I180" s="727">
        <v>0</v>
      </c>
    </row>
    <row r="181" ht="15">
      <c r="A181" s="727" t="s">
        <v>935</v>
      </c>
    </row>
    <row r="184" ht="15">
      <c r="A184" s="727" t="s">
        <v>934</v>
      </c>
    </row>
    <row r="187" spans="1:9" ht="15">
      <c r="A187" s="727" t="s">
        <v>933</v>
      </c>
      <c r="I187" s="727">
        <v>0</v>
      </c>
    </row>
    <row r="188" ht="15">
      <c r="A188" s="727" t="s">
        <v>932</v>
      </c>
    </row>
    <row r="190" ht="15">
      <c r="I190" s="727">
        <v>0</v>
      </c>
    </row>
    <row r="191" ht="15">
      <c r="A191" s="727" t="s">
        <v>931</v>
      </c>
    </row>
    <row r="193" ht="15">
      <c r="I193" s="727">
        <v>0</v>
      </c>
    </row>
    <row r="194" ht="15">
      <c r="A194" s="727" t="s">
        <v>930</v>
      </c>
    </row>
    <row r="196" ht="15">
      <c r="I196" s="727">
        <v>0</v>
      </c>
    </row>
    <row r="197" ht="15">
      <c r="A197" s="727" t="s">
        <v>927</v>
      </c>
    </row>
    <row r="199" ht="15">
      <c r="I199" s="727">
        <v>0</v>
      </c>
    </row>
    <row r="200" ht="15">
      <c r="A200" s="727" t="s">
        <v>926</v>
      </c>
    </row>
    <row r="202" ht="15">
      <c r="I202" s="727">
        <f>I178-I180-I183-I187-I190-I193-I196-I199</f>
        <v>-292</v>
      </c>
    </row>
    <row r="205" spans="1:9" ht="15">
      <c r="A205" s="727" t="s">
        <v>925</v>
      </c>
      <c r="I205" s="727">
        <f>I202</f>
        <v>-292</v>
      </c>
    </row>
    <row r="232" ht="15">
      <c r="I232" s="727">
        <v>5</v>
      </c>
    </row>
    <row r="233" ht="15">
      <c r="A233" s="727" t="s">
        <v>924</v>
      </c>
    </row>
    <row r="234" ht="15">
      <c r="I234" s="727">
        <v>0</v>
      </c>
    </row>
    <row r="235" spans="1:9" ht="15">
      <c r="A235" s="727" t="s">
        <v>923</v>
      </c>
      <c r="I235" s="727">
        <v>0</v>
      </c>
    </row>
    <row r="236" spans="1:9" ht="15">
      <c r="A236" s="727" t="s">
        <v>922</v>
      </c>
      <c r="I236" s="727">
        <f>I234-I235</f>
        <v>0</v>
      </c>
    </row>
    <row r="238" spans="1:9" ht="15">
      <c r="A238" s="727" t="s">
        <v>928</v>
      </c>
      <c r="I238" s="727">
        <v>0</v>
      </c>
    </row>
    <row r="239" ht="15">
      <c r="A239" s="727" t="s">
        <v>935</v>
      </c>
    </row>
    <row r="241" ht="15">
      <c r="I241" s="727">
        <v>0</v>
      </c>
    </row>
    <row r="242" ht="15">
      <c r="A242" s="727" t="s">
        <v>934</v>
      </c>
    </row>
    <row r="245" spans="1:9" ht="15">
      <c r="A245" s="727" t="s">
        <v>933</v>
      </c>
      <c r="I245" s="727">
        <v>0</v>
      </c>
    </row>
    <row r="246" ht="15">
      <c r="A246" s="727" t="s">
        <v>932</v>
      </c>
    </row>
    <row r="248" ht="15">
      <c r="I248" s="727">
        <v>0</v>
      </c>
    </row>
    <row r="249" ht="15">
      <c r="A249" s="727" t="s">
        <v>931</v>
      </c>
    </row>
    <row r="251" ht="15">
      <c r="I251" s="727">
        <v>0</v>
      </c>
    </row>
    <row r="254" ht="15">
      <c r="I254" s="727">
        <v>0</v>
      </c>
    </row>
    <row r="255" ht="15">
      <c r="A255" s="727" t="s">
        <v>927</v>
      </c>
    </row>
    <row r="257" ht="15">
      <c r="I257" s="727">
        <v>0</v>
      </c>
    </row>
    <row r="260" ht="15">
      <c r="I260" s="727">
        <f>I236-I238-I241-I245-I248-I251-I254-I257</f>
        <v>0</v>
      </c>
    </row>
    <row r="264" spans="1:9" ht="15">
      <c r="A264" s="727" t="s">
        <v>925</v>
      </c>
      <c r="I264" s="727">
        <f>I260</f>
        <v>0</v>
      </c>
    </row>
    <row r="267" ht="15">
      <c r="I267" s="727">
        <f>I38+I86+I150+I202+I260</f>
        <v>730</v>
      </c>
    </row>
    <row r="269" ht="15">
      <c r="I269" s="727">
        <f>I41+I89</f>
        <v>532.8</v>
      </c>
    </row>
    <row r="270" ht="15">
      <c r="I270" s="727">
        <f>I264+I205+I153+I91+I43</f>
        <v>197.20000000000005</v>
      </c>
    </row>
    <row r="272" ht="15">
      <c r="I272" s="727">
        <v>6</v>
      </c>
    </row>
    <row r="273" ht="15">
      <c r="A273" s="727" t="s">
        <v>924</v>
      </c>
    </row>
    <row r="274" ht="15">
      <c r="I274" s="727">
        <v>2015</v>
      </c>
    </row>
    <row r="275" spans="1:9" ht="15">
      <c r="A275" s="727" t="s">
        <v>923</v>
      </c>
      <c r="I275" s="727">
        <v>2517</v>
      </c>
    </row>
    <row r="276" spans="1:9" ht="15">
      <c r="A276" s="727" t="s">
        <v>922</v>
      </c>
      <c r="I276" s="727">
        <f>I275-I274</f>
        <v>502</v>
      </c>
    </row>
    <row r="277" ht="15">
      <c r="I277" s="727">
        <v>450</v>
      </c>
    </row>
    <row r="279" ht="15">
      <c r="I279" s="727">
        <f>I276-I277</f>
        <v>52</v>
      </c>
    </row>
    <row r="281" ht="15">
      <c r="I281" s="727">
        <f>I279+I267</f>
        <v>782</v>
      </c>
    </row>
    <row r="283" ht="15">
      <c r="I283" s="727">
        <f>I269</f>
        <v>532.8</v>
      </c>
    </row>
    <row r="284" ht="15">
      <c r="I284" s="727">
        <f>I270+I279</f>
        <v>249.20000000000005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zoomScale="150" zoomScaleNormal="150" zoomScaleSheetLayoutView="100" zoomScalePageLayoutView="0" workbookViewId="0" topLeftCell="A49">
      <selection activeCell="B67" sqref="B67:E67"/>
    </sheetView>
  </sheetViews>
  <sheetFormatPr defaultColWidth="9.140625" defaultRowHeight="12.75"/>
  <cols>
    <col min="1" max="1" width="5.28125" style="0" customWidth="1"/>
    <col min="2" max="2" width="4.7109375" style="0" customWidth="1"/>
    <col min="5" max="5" width="27.140625" style="0" customWidth="1"/>
    <col min="6" max="6" width="11.00390625" style="0" customWidth="1"/>
    <col min="7" max="9" width="9.421875" style="0" customWidth="1"/>
    <col min="10" max="10" width="7.57421875" style="0" customWidth="1"/>
  </cols>
  <sheetData>
    <row r="1" spans="7:10" ht="12.75">
      <c r="G1" s="177"/>
      <c r="H1" s="177"/>
      <c r="I1" s="177" t="s">
        <v>227</v>
      </c>
      <c r="J1" s="177"/>
    </row>
    <row r="2" spans="2:10" ht="12.75">
      <c r="B2" s="1158" t="s">
        <v>122</v>
      </c>
      <c r="C2" s="1158"/>
      <c r="D2" s="1158"/>
      <c r="E2" s="1158"/>
      <c r="F2" s="1158"/>
      <c r="G2" s="1158"/>
      <c r="H2" s="1158"/>
      <c r="I2" s="1158"/>
      <c r="J2" s="1158"/>
    </row>
    <row r="3" spans="2:10" ht="16.5" customHeight="1">
      <c r="B3" s="1097" t="s">
        <v>226</v>
      </c>
      <c r="C3" s="1097"/>
      <c r="D3" s="1097"/>
      <c r="E3" s="1097"/>
      <c r="F3" s="1097"/>
      <c r="G3" s="1097"/>
      <c r="H3" s="1097"/>
      <c r="I3" s="1097"/>
      <c r="J3" s="1097"/>
    </row>
    <row r="4" spans="2:10" ht="31.5" customHeight="1">
      <c r="B4" s="42"/>
      <c r="C4" s="42"/>
      <c r="D4" s="42"/>
      <c r="E4" s="42"/>
      <c r="F4" s="42"/>
      <c r="G4" s="42"/>
      <c r="H4" s="42"/>
      <c r="I4" s="42"/>
      <c r="J4" s="42"/>
    </row>
    <row r="5" spans="2:10" ht="13.5" customHeight="1">
      <c r="B5" s="42"/>
      <c r="C5" s="42"/>
      <c r="D5" s="42"/>
      <c r="E5" s="42"/>
      <c r="F5" s="42"/>
      <c r="G5" s="42"/>
      <c r="H5" s="42"/>
      <c r="I5" s="176" t="s">
        <v>4</v>
      </c>
      <c r="J5" s="176"/>
    </row>
    <row r="6" spans="1:9" ht="12.75">
      <c r="A6" s="1174"/>
      <c r="B6" s="1125" t="s">
        <v>41</v>
      </c>
      <c r="C6" s="1126"/>
      <c r="D6" s="1126"/>
      <c r="E6" s="1127"/>
      <c r="F6" s="110" t="s">
        <v>27</v>
      </c>
      <c r="G6" s="110" t="s">
        <v>28</v>
      </c>
      <c r="H6" s="110" t="s">
        <v>29</v>
      </c>
      <c r="I6" s="110" t="s">
        <v>30</v>
      </c>
    </row>
    <row r="7" spans="1:9" ht="14.25" customHeight="1">
      <c r="A7" s="1175"/>
      <c r="B7" s="1156" t="s">
        <v>7</v>
      </c>
      <c r="C7" s="1156"/>
      <c r="D7" s="1156"/>
      <c r="E7" s="1156"/>
      <c r="F7" s="150" t="s">
        <v>0</v>
      </c>
      <c r="G7" s="150" t="s">
        <v>1</v>
      </c>
      <c r="H7" s="1159" t="s">
        <v>2</v>
      </c>
      <c r="I7" s="1160"/>
    </row>
    <row r="8" spans="1:9" ht="14.25" customHeight="1">
      <c r="A8" s="1176"/>
      <c r="B8" s="1157"/>
      <c r="C8" s="1157"/>
      <c r="D8" s="1157"/>
      <c r="E8" s="1157"/>
      <c r="F8" s="1162" t="s">
        <v>3</v>
      </c>
      <c r="G8" s="1164"/>
      <c r="H8" s="150" t="s">
        <v>119</v>
      </c>
      <c r="I8" s="149" t="s">
        <v>21</v>
      </c>
    </row>
    <row r="9" spans="1:9" ht="12.75">
      <c r="A9" s="110">
        <v>1</v>
      </c>
      <c r="B9" s="1106" t="s">
        <v>225</v>
      </c>
      <c r="C9" s="1106"/>
      <c r="D9" s="1106"/>
      <c r="E9" s="1106"/>
      <c r="F9" s="110"/>
      <c r="G9" s="110"/>
      <c r="H9" s="110"/>
      <c r="I9" s="172"/>
    </row>
    <row r="10" spans="1:9" ht="12.75">
      <c r="A10" s="110">
        <v>2</v>
      </c>
      <c r="B10" s="1080" t="s">
        <v>224</v>
      </c>
      <c r="C10" s="1106"/>
      <c r="D10" s="1106"/>
      <c r="E10" s="1106"/>
      <c r="F10" s="164">
        <f>F11+F12+F13+F14+F15+F16+F17+F18+F19+F20+F21</f>
        <v>73690</v>
      </c>
      <c r="G10" s="164">
        <f>G11+G12+G13+G14+G15+G16+G17+G18+G19+G20+G21</f>
        <v>77097</v>
      </c>
      <c r="H10" s="164">
        <f>H11+H12+H13+H14+H15+H16+H17+H18+H19+H20+H21</f>
        <v>85346</v>
      </c>
      <c r="I10" s="171">
        <f>H10/G10*100</f>
        <v>110.69950841148164</v>
      </c>
    </row>
    <row r="11" spans="1:9" ht="12.75">
      <c r="A11" s="110">
        <v>3</v>
      </c>
      <c r="B11" s="1043" t="s">
        <v>223</v>
      </c>
      <c r="C11" s="1051"/>
      <c r="D11" s="1051"/>
      <c r="E11" s="1051"/>
      <c r="F11" s="145">
        <v>5542</v>
      </c>
      <c r="G11" s="145">
        <v>5542</v>
      </c>
      <c r="H11" s="145">
        <v>6279</v>
      </c>
      <c r="I11" s="125">
        <f>(H11/G11)*100</f>
        <v>113.29844821364128</v>
      </c>
    </row>
    <row r="12" spans="1:9" ht="12.75">
      <c r="A12" s="110">
        <v>4</v>
      </c>
      <c r="B12" s="1043" t="s">
        <v>222</v>
      </c>
      <c r="C12" s="1051"/>
      <c r="D12" s="1051"/>
      <c r="E12" s="1051"/>
      <c r="F12" s="145">
        <v>4220</v>
      </c>
      <c r="G12" s="145">
        <v>4220</v>
      </c>
      <c r="H12" s="145">
        <v>4507</v>
      </c>
      <c r="I12" s="125">
        <f>(H12/G12)*100</f>
        <v>106.80094786729856</v>
      </c>
    </row>
    <row r="13" spans="1:9" ht="12.75">
      <c r="A13" s="110">
        <v>5</v>
      </c>
      <c r="B13" s="1043" t="s">
        <v>221</v>
      </c>
      <c r="C13" s="1051"/>
      <c r="D13" s="1051"/>
      <c r="E13" s="1051"/>
      <c r="F13" s="145">
        <v>13586</v>
      </c>
      <c r="G13" s="145">
        <v>13886</v>
      </c>
      <c r="H13" s="145">
        <v>13453</v>
      </c>
      <c r="I13" s="125">
        <f>(H13/G13)*100</f>
        <v>96.88175140429209</v>
      </c>
    </row>
    <row r="14" spans="1:9" ht="12.75">
      <c r="A14" s="110">
        <v>6</v>
      </c>
      <c r="B14" s="1043" t="s">
        <v>220</v>
      </c>
      <c r="C14" s="1051"/>
      <c r="D14" s="1051"/>
      <c r="E14" s="1051"/>
      <c r="F14" s="145">
        <v>370</v>
      </c>
      <c r="G14" s="145">
        <v>2976</v>
      </c>
      <c r="H14" s="145">
        <v>3657</v>
      </c>
      <c r="I14" s="125">
        <f>(H14/G14)*100</f>
        <v>122.88306451612902</v>
      </c>
    </row>
    <row r="15" spans="1:11" ht="12.75">
      <c r="A15" s="110">
        <v>7</v>
      </c>
      <c r="B15" s="1043" t="s">
        <v>219</v>
      </c>
      <c r="C15" s="1051"/>
      <c r="D15" s="1051"/>
      <c r="E15" s="1051"/>
      <c r="F15" s="145">
        <v>6930</v>
      </c>
      <c r="G15" s="145">
        <v>6930</v>
      </c>
      <c r="H15" s="145">
        <v>5752</v>
      </c>
      <c r="I15" s="125">
        <f>(H15/G15)*100</f>
        <v>83.001443001443</v>
      </c>
      <c r="J15" s="6" t="s">
        <v>177</v>
      </c>
      <c r="K15" s="170"/>
    </row>
    <row r="16" spans="1:11" ht="12.75">
      <c r="A16" s="110">
        <v>8</v>
      </c>
      <c r="B16" s="1043" t="s">
        <v>218</v>
      </c>
      <c r="C16" s="1051"/>
      <c r="D16" s="1051"/>
      <c r="E16" s="1051"/>
      <c r="F16" s="145">
        <v>0</v>
      </c>
      <c r="G16" s="145">
        <v>0</v>
      </c>
      <c r="H16" s="145">
        <v>0</v>
      </c>
      <c r="I16" s="125">
        <v>0</v>
      </c>
      <c r="J16" s="6"/>
      <c r="K16" s="170"/>
    </row>
    <row r="17" spans="1:9" ht="12.75">
      <c r="A17" s="110">
        <v>9</v>
      </c>
      <c r="B17" s="1043" t="s">
        <v>217</v>
      </c>
      <c r="C17" s="1051"/>
      <c r="D17" s="1051"/>
      <c r="E17" s="1051"/>
      <c r="F17" s="145">
        <v>1000</v>
      </c>
      <c r="G17" s="145">
        <v>1000</v>
      </c>
      <c r="H17" s="145">
        <v>220</v>
      </c>
      <c r="I17" s="125">
        <f>(H17/G17)*100</f>
        <v>22</v>
      </c>
    </row>
    <row r="18" spans="1:9" ht="12.75">
      <c r="A18" s="110">
        <v>10</v>
      </c>
      <c r="B18" s="1043" t="s">
        <v>216</v>
      </c>
      <c r="C18" s="1051"/>
      <c r="D18" s="1051"/>
      <c r="E18" s="1051"/>
      <c r="F18" s="145">
        <v>0</v>
      </c>
      <c r="G18" s="145">
        <v>0</v>
      </c>
      <c r="H18" s="145">
        <v>995</v>
      </c>
      <c r="I18" s="125">
        <v>0</v>
      </c>
    </row>
    <row r="19" spans="1:10" ht="12.75">
      <c r="A19" s="110">
        <v>11</v>
      </c>
      <c r="B19" s="1043" t="s">
        <v>215</v>
      </c>
      <c r="C19" s="1051"/>
      <c r="D19" s="1051"/>
      <c r="E19" s="1051"/>
      <c r="F19" s="145">
        <v>10042</v>
      </c>
      <c r="G19" s="145">
        <v>10418</v>
      </c>
      <c r="H19" s="145">
        <v>6299</v>
      </c>
      <c r="I19" s="125">
        <f>(H19/G19)*100</f>
        <v>60.46266077942023</v>
      </c>
      <c r="J19" s="169"/>
    </row>
    <row r="20" spans="1:10" ht="12.75">
      <c r="A20" s="110">
        <v>12</v>
      </c>
      <c r="B20" s="1042" t="s">
        <v>214</v>
      </c>
      <c r="C20" s="1042"/>
      <c r="D20" s="1042"/>
      <c r="E20" s="1043"/>
      <c r="F20" s="145">
        <v>32000</v>
      </c>
      <c r="G20" s="145">
        <v>32000</v>
      </c>
      <c r="H20" s="145">
        <v>44059</v>
      </c>
      <c r="I20" s="125">
        <f>(H20/G20)*100</f>
        <v>137.684375</v>
      </c>
      <c r="J20" s="169"/>
    </row>
    <row r="21" spans="1:10" ht="12.75">
      <c r="A21" s="110">
        <v>13</v>
      </c>
      <c r="B21" s="1165" t="s">
        <v>213</v>
      </c>
      <c r="C21" s="1166"/>
      <c r="D21" s="1166"/>
      <c r="E21" s="1167"/>
      <c r="F21" s="168">
        <v>0</v>
      </c>
      <c r="G21" s="168">
        <v>125</v>
      </c>
      <c r="H21" s="168">
        <v>125</v>
      </c>
      <c r="I21" s="167">
        <f>(H19/G19)*100</f>
        <v>60.46266077942023</v>
      </c>
      <c r="J21" s="6"/>
    </row>
    <row r="22" spans="1:9" ht="12.75">
      <c r="A22" s="110">
        <v>14</v>
      </c>
      <c r="B22" s="1080" t="s">
        <v>212</v>
      </c>
      <c r="C22" s="1106"/>
      <c r="D22" s="1106"/>
      <c r="E22" s="1106"/>
      <c r="F22" s="123">
        <f>F23+F24+F25+F26+F27+F28+F29+F30+F31+F32+F33+F35</f>
        <v>258563</v>
      </c>
      <c r="G22" s="123">
        <f>G23+G24+G25+G26+G27+G28+G29+G30+G31+G32+G33+G35+G34</f>
        <v>249713</v>
      </c>
      <c r="H22" s="123">
        <f>H23+H24+H25+H26+H27+H28+H29+H30+H31+H32+H33+H35+H34</f>
        <v>205904</v>
      </c>
      <c r="I22" s="127">
        <f>(H22/G22)*100</f>
        <v>82.4562597862346</v>
      </c>
    </row>
    <row r="23" spans="1:9" ht="12.75">
      <c r="A23" s="110">
        <v>15</v>
      </c>
      <c r="B23" s="1043" t="s">
        <v>211</v>
      </c>
      <c r="C23" s="1051"/>
      <c r="D23" s="1051"/>
      <c r="E23" s="1051"/>
      <c r="F23" s="126">
        <v>27000</v>
      </c>
      <c r="G23" s="126">
        <v>27000</v>
      </c>
      <c r="H23" s="126">
        <v>26847</v>
      </c>
      <c r="I23" s="125">
        <f>(H23/G23)*100</f>
        <v>99.43333333333332</v>
      </c>
    </row>
    <row r="24" spans="1:9" ht="12.75">
      <c r="A24" s="110">
        <v>16</v>
      </c>
      <c r="B24" s="1042" t="s">
        <v>210</v>
      </c>
      <c r="C24" s="1042"/>
      <c r="D24" s="1042"/>
      <c r="E24" s="1043"/>
      <c r="F24" s="126">
        <v>0</v>
      </c>
      <c r="G24" s="126">
        <v>0</v>
      </c>
      <c r="H24" s="126">
        <v>0</v>
      </c>
      <c r="I24" s="125">
        <v>0</v>
      </c>
    </row>
    <row r="25" spans="1:9" ht="12.75">
      <c r="A25" s="110">
        <v>17</v>
      </c>
      <c r="B25" s="1043" t="s">
        <v>209</v>
      </c>
      <c r="C25" s="1051"/>
      <c r="D25" s="1051"/>
      <c r="E25" s="1051"/>
      <c r="F25" s="126">
        <v>6000</v>
      </c>
      <c r="G25" s="126">
        <v>6000</v>
      </c>
      <c r="H25" s="126">
        <v>5120</v>
      </c>
      <c r="I25" s="125">
        <f>(H25/G25)*100</f>
        <v>85.33333333333334</v>
      </c>
    </row>
    <row r="26" spans="1:9" ht="12.75">
      <c r="A26" s="110">
        <v>18</v>
      </c>
      <c r="B26" s="1043" t="s">
        <v>208</v>
      </c>
      <c r="C26" s="1051"/>
      <c r="D26" s="1051"/>
      <c r="E26" s="1051"/>
      <c r="F26" s="126">
        <v>130000</v>
      </c>
      <c r="G26" s="126">
        <v>130000</v>
      </c>
      <c r="H26" s="126">
        <v>94860</v>
      </c>
      <c r="I26" s="125">
        <f>(H26/G26)*100</f>
        <v>72.96923076923076</v>
      </c>
    </row>
    <row r="27" spans="1:9" ht="12.75">
      <c r="A27" s="110">
        <v>19</v>
      </c>
      <c r="B27" s="1043" t="s">
        <v>207</v>
      </c>
      <c r="C27" s="1051"/>
      <c r="D27" s="1051"/>
      <c r="E27" s="1051"/>
      <c r="F27" s="126">
        <v>0</v>
      </c>
      <c r="G27" s="126">
        <v>0</v>
      </c>
      <c r="H27" s="126">
        <v>807</v>
      </c>
      <c r="I27" s="125">
        <v>0</v>
      </c>
    </row>
    <row r="28" spans="1:9" ht="12.75">
      <c r="A28" s="110">
        <v>20</v>
      </c>
      <c r="B28" s="1043" t="s">
        <v>206</v>
      </c>
      <c r="C28" s="1051"/>
      <c r="D28" s="1051"/>
      <c r="E28" s="1051"/>
      <c r="F28" s="126">
        <v>2500</v>
      </c>
      <c r="G28" s="126">
        <v>2500</v>
      </c>
      <c r="H28" s="126">
        <v>1674</v>
      </c>
      <c r="I28" s="125">
        <f>(H28/G28)*100</f>
        <v>66.96</v>
      </c>
    </row>
    <row r="29" spans="1:9" ht="12.75">
      <c r="A29" s="110">
        <v>21</v>
      </c>
      <c r="B29" s="1043" t="s">
        <v>205</v>
      </c>
      <c r="C29" s="1051"/>
      <c r="D29" s="1051"/>
      <c r="E29" s="1051"/>
      <c r="F29" s="126">
        <v>46011</v>
      </c>
      <c r="G29" s="126">
        <v>46011</v>
      </c>
      <c r="H29" s="126">
        <v>46011</v>
      </c>
      <c r="I29" s="125">
        <f>(H29/G29)*100</f>
        <v>100</v>
      </c>
    </row>
    <row r="30" spans="1:9" ht="12.75">
      <c r="A30" s="110">
        <v>22</v>
      </c>
      <c r="B30" s="1043" t="s">
        <v>204</v>
      </c>
      <c r="C30" s="1051"/>
      <c r="D30" s="1051"/>
      <c r="E30" s="1051"/>
      <c r="F30" s="126">
        <v>10597</v>
      </c>
      <c r="G30" s="126">
        <v>1747</v>
      </c>
      <c r="H30" s="126">
        <v>1747</v>
      </c>
      <c r="I30" s="125">
        <f>(H30/G30)*100</f>
        <v>100</v>
      </c>
    </row>
    <row r="31" spans="1:9" ht="12.75">
      <c r="A31" s="110">
        <v>23</v>
      </c>
      <c r="B31" s="1043" t="s">
        <v>203</v>
      </c>
      <c r="C31" s="1051"/>
      <c r="D31" s="1051"/>
      <c r="E31" s="1051"/>
      <c r="F31" s="126">
        <v>31000</v>
      </c>
      <c r="G31" s="126">
        <v>31000</v>
      </c>
      <c r="H31" s="126">
        <v>23947</v>
      </c>
      <c r="I31" s="125">
        <f>(H31/G31)*100</f>
        <v>77.2483870967742</v>
      </c>
    </row>
    <row r="32" spans="1:9" ht="12.75">
      <c r="A32" s="110">
        <v>24</v>
      </c>
      <c r="B32" s="1043" t="s">
        <v>202</v>
      </c>
      <c r="C32" s="1051"/>
      <c r="D32" s="1051"/>
      <c r="E32" s="1051"/>
      <c r="F32" s="126">
        <v>0</v>
      </c>
      <c r="G32" s="126">
        <v>0</v>
      </c>
      <c r="H32" s="126">
        <v>144</v>
      </c>
      <c r="I32" s="125">
        <v>0</v>
      </c>
    </row>
    <row r="33" spans="1:9" ht="12.75">
      <c r="A33" s="110">
        <v>25</v>
      </c>
      <c r="B33" s="1043" t="s">
        <v>201</v>
      </c>
      <c r="C33" s="1051"/>
      <c r="D33" s="1051"/>
      <c r="E33" s="1051"/>
      <c r="F33" s="126">
        <v>2700</v>
      </c>
      <c r="G33" s="126">
        <v>2700</v>
      </c>
      <c r="H33" s="126">
        <v>1566</v>
      </c>
      <c r="I33" s="125">
        <f>(H33/G33)*100</f>
        <v>57.99999999999999</v>
      </c>
    </row>
    <row r="34" spans="1:9" ht="12.75">
      <c r="A34" s="110">
        <v>26</v>
      </c>
      <c r="B34" s="1042" t="s">
        <v>200</v>
      </c>
      <c r="C34" s="1042"/>
      <c r="D34" s="1042"/>
      <c r="E34" s="1043"/>
      <c r="F34" s="126">
        <v>0</v>
      </c>
      <c r="G34" s="126">
        <v>0</v>
      </c>
      <c r="H34" s="126">
        <v>262</v>
      </c>
      <c r="I34" s="125">
        <v>0</v>
      </c>
    </row>
    <row r="35" spans="1:9" ht="12.75">
      <c r="A35" s="110">
        <v>27</v>
      </c>
      <c r="B35" s="1043" t="s">
        <v>199</v>
      </c>
      <c r="C35" s="1051"/>
      <c r="D35" s="1051"/>
      <c r="E35" s="1051"/>
      <c r="F35" s="126">
        <v>2755</v>
      </c>
      <c r="G35" s="126">
        <v>2755</v>
      </c>
      <c r="H35" s="126">
        <v>2919</v>
      </c>
      <c r="I35" s="125">
        <f>(H35/G35)*100</f>
        <v>105.95281306715063</v>
      </c>
    </row>
    <row r="36" spans="1:9" ht="12.75">
      <c r="A36" s="110">
        <v>28</v>
      </c>
      <c r="B36" s="1080" t="s">
        <v>198</v>
      </c>
      <c r="C36" s="1106"/>
      <c r="D36" s="1106"/>
      <c r="E36" s="1106"/>
      <c r="F36" s="166"/>
      <c r="G36" s="166"/>
      <c r="H36" s="166"/>
      <c r="I36" s="165"/>
    </row>
    <row r="37" spans="1:9" ht="12.75">
      <c r="A37" s="110">
        <v>29</v>
      </c>
      <c r="B37" s="1080" t="s">
        <v>197</v>
      </c>
      <c r="C37" s="1106"/>
      <c r="D37" s="1106"/>
      <c r="E37" s="1106"/>
      <c r="F37" s="164">
        <f>F38+F39+F40+F41+F42+F43</f>
        <v>170529</v>
      </c>
      <c r="G37" s="164">
        <f>SUM(G38:G43)</f>
        <v>230419</v>
      </c>
      <c r="H37" s="164">
        <f>SUM(H38:H43)</f>
        <v>210419</v>
      </c>
      <c r="I37" s="127">
        <f aca="true" t="shared" si="0" ref="I37:I44">H37/G37*100</f>
        <v>91.32016022984216</v>
      </c>
    </row>
    <row r="38" spans="1:9" ht="12.75">
      <c r="A38" s="110">
        <v>30</v>
      </c>
      <c r="B38" s="1043" t="s">
        <v>196</v>
      </c>
      <c r="C38" s="1051"/>
      <c r="D38" s="1051"/>
      <c r="E38" s="1051"/>
      <c r="F38" s="145">
        <v>12055</v>
      </c>
      <c r="G38" s="145">
        <v>12055</v>
      </c>
      <c r="H38" s="145">
        <v>12055</v>
      </c>
      <c r="I38" s="125">
        <f t="shared" si="0"/>
        <v>100</v>
      </c>
    </row>
    <row r="39" spans="1:9" ht="12.75">
      <c r="A39" s="110">
        <v>31</v>
      </c>
      <c r="B39" s="1043" t="s">
        <v>195</v>
      </c>
      <c r="C39" s="1051"/>
      <c r="D39" s="1051"/>
      <c r="E39" s="1051"/>
      <c r="F39" s="145">
        <v>136491</v>
      </c>
      <c r="G39" s="145">
        <v>136006</v>
      </c>
      <c r="H39" s="145">
        <v>136006</v>
      </c>
      <c r="I39" s="125">
        <f t="shared" si="0"/>
        <v>100</v>
      </c>
    </row>
    <row r="40" spans="1:9" ht="14.25" customHeight="1">
      <c r="A40" s="110">
        <v>32</v>
      </c>
      <c r="B40" s="1043" t="s">
        <v>194</v>
      </c>
      <c r="C40" s="1051"/>
      <c r="D40" s="1051"/>
      <c r="E40" s="1051"/>
      <c r="F40" s="145">
        <v>0</v>
      </c>
      <c r="G40" s="145">
        <v>39520</v>
      </c>
      <c r="H40" s="145">
        <v>39520</v>
      </c>
      <c r="I40" s="125">
        <f t="shared" si="0"/>
        <v>100</v>
      </c>
    </row>
    <row r="41" spans="1:9" ht="12.75">
      <c r="A41" s="110">
        <v>33</v>
      </c>
      <c r="B41" s="1043" t="s">
        <v>193</v>
      </c>
      <c r="C41" s="1051"/>
      <c r="D41" s="1051"/>
      <c r="E41" s="1051"/>
      <c r="F41" s="145">
        <v>1523</v>
      </c>
      <c r="G41" s="145">
        <v>1197</v>
      </c>
      <c r="H41" s="145">
        <v>1197</v>
      </c>
      <c r="I41" s="125">
        <f t="shared" si="0"/>
        <v>100</v>
      </c>
    </row>
    <row r="42" spans="1:9" ht="12.75">
      <c r="A42" s="110">
        <v>34</v>
      </c>
      <c r="B42" s="1043" t="s">
        <v>192</v>
      </c>
      <c r="C42" s="1051"/>
      <c r="D42" s="1051"/>
      <c r="E42" s="1051"/>
      <c r="F42" s="145">
        <v>20460</v>
      </c>
      <c r="G42" s="145">
        <v>18355</v>
      </c>
      <c r="H42" s="145">
        <v>18355</v>
      </c>
      <c r="I42" s="125">
        <f t="shared" si="0"/>
        <v>100</v>
      </c>
    </row>
    <row r="43" spans="1:9" ht="12.75">
      <c r="A43" s="110">
        <v>35</v>
      </c>
      <c r="B43" s="1042" t="s">
        <v>191</v>
      </c>
      <c r="C43" s="1042"/>
      <c r="D43" s="1042"/>
      <c r="E43" s="1043"/>
      <c r="F43" s="145">
        <v>0</v>
      </c>
      <c r="G43" s="145">
        <v>23286</v>
      </c>
      <c r="H43" s="145">
        <v>3286</v>
      </c>
      <c r="I43" s="125">
        <f t="shared" si="0"/>
        <v>14.111483294683499</v>
      </c>
    </row>
    <row r="44" spans="1:9" ht="12.75">
      <c r="A44" s="110">
        <v>36</v>
      </c>
      <c r="B44" s="1080" t="s">
        <v>190</v>
      </c>
      <c r="C44" s="1106"/>
      <c r="D44" s="1106"/>
      <c r="E44" s="1106"/>
      <c r="F44" s="146">
        <f>F45+F46</f>
        <v>25199</v>
      </c>
      <c r="G44" s="146">
        <f>G45+G46</f>
        <v>38489</v>
      </c>
      <c r="H44" s="146">
        <f>H45+H46</f>
        <v>38763</v>
      </c>
      <c r="I44" s="127">
        <f t="shared" si="0"/>
        <v>100.71189170931956</v>
      </c>
    </row>
    <row r="45" spans="1:9" ht="12.75">
      <c r="A45" s="110">
        <v>37</v>
      </c>
      <c r="B45" s="1155" t="s">
        <v>189</v>
      </c>
      <c r="C45" s="1042"/>
      <c r="D45" s="1042"/>
      <c r="E45" s="1043"/>
      <c r="F45" s="147">
        <v>0</v>
      </c>
      <c r="G45" s="147">
        <v>0</v>
      </c>
      <c r="H45" s="147">
        <v>0</v>
      </c>
      <c r="I45" s="125">
        <v>0</v>
      </c>
    </row>
    <row r="46" spans="1:10" ht="12.75">
      <c r="A46" s="110">
        <v>38</v>
      </c>
      <c r="B46" s="1043" t="s">
        <v>188</v>
      </c>
      <c r="C46" s="1051"/>
      <c r="D46" s="1051"/>
      <c r="E46" s="1051"/>
      <c r="F46" s="126">
        <v>25199</v>
      </c>
      <c r="G46" s="126">
        <v>38489</v>
      </c>
      <c r="H46" s="126">
        <v>38763</v>
      </c>
      <c r="I46" s="125">
        <f>H46/G46*100</f>
        <v>100.71189170931956</v>
      </c>
      <c r="J46" s="6"/>
    </row>
    <row r="47" spans="1:10" ht="12.75">
      <c r="A47" s="110">
        <v>39</v>
      </c>
      <c r="B47" s="1043" t="s">
        <v>187</v>
      </c>
      <c r="C47" s="1051"/>
      <c r="D47" s="1051"/>
      <c r="E47" s="1051"/>
      <c r="F47" s="163">
        <v>24360</v>
      </c>
      <c r="G47" s="163">
        <v>24360</v>
      </c>
      <c r="H47" s="162">
        <v>24502</v>
      </c>
      <c r="I47" s="125">
        <f>H47/G47*100</f>
        <v>100.58292282430214</v>
      </c>
      <c r="J47" s="6"/>
    </row>
    <row r="48" spans="1:10" ht="12.75">
      <c r="A48" s="110">
        <v>40</v>
      </c>
      <c r="B48" s="1080" t="s">
        <v>186</v>
      </c>
      <c r="C48" s="1106"/>
      <c r="D48" s="1106"/>
      <c r="E48" s="1106"/>
      <c r="F48" s="146">
        <v>0</v>
      </c>
      <c r="G48" s="146">
        <v>0</v>
      </c>
      <c r="H48" s="146">
        <v>0</v>
      </c>
      <c r="I48" s="127">
        <v>0</v>
      </c>
      <c r="J48" s="161"/>
    </row>
    <row r="49" spans="1:10" ht="12.75">
      <c r="A49" s="110">
        <v>41</v>
      </c>
      <c r="B49" s="1043" t="s">
        <v>185</v>
      </c>
      <c r="C49" s="1051"/>
      <c r="D49" s="1051"/>
      <c r="E49" s="1051"/>
      <c r="F49" s="126">
        <v>0</v>
      </c>
      <c r="G49" s="126">
        <v>0</v>
      </c>
      <c r="H49" s="126">
        <v>0</v>
      </c>
      <c r="I49" s="125">
        <v>0</v>
      </c>
      <c r="J49" s="6"/>
    </row>
    <row r="50" spans="1:10" ht="12.75">
      <c r="A50" s="110">
        <v>42</v>
      </c>
      <c r="B50" s="1042" t="s">
        <v>184</v>
      </c>
      <c r="C50" s="1042"/>
      <c r="D50" s="1042"/>
      <c r="E50" s="1043"/>
      <c r="F50" s="126">
        <v>0</v>
      </c>
      <c r="G50" s="126">
        <v>0</v>
      </c>
      <c r="H50" s="126">
        <v>2599</v>
      </c>
      <c r="I50" s="125">
        <v>0</v>
      </c>
      <c r="J50" s="6"/>
    </row>
    <row r="51" spans="1:10" ht="12.75">
      <c r="A51" s="110">
        <v>43</v>
      </c>
      <c r="B51" s="1080" t="s">
        <v>183</v>
      </c>
      <c r="C51" s="1106"/>
      <c r="D51" s="1106"/>
      <c r="E51" s="1106"/>
      <c r="F51" s="146">
        <f>F52</f>
        <v>32134</v>
      </c>
      <c r="G51" s="146">
        <f>G52</f>
        <v>93761</v>
      </c>
      <c r="H51" s="146">
        <v>3748</v>
      </c>
      <c r="I51" s="127">
        <f>H51/G51*100</f>
        <v>3.9973976386770618</v>
      </c>
      <c r="J51" s="6"/>
    </row>
    <row r="52" spans="1:10" ht="21" customHeight="1">
      <c r="A52" s="110">
        <v>44</v>
      </c>
      <c r="B52" s="1170" t="s">
        <v>182</v>
      </c>
      <c r="C52" s="1171"/>
      <c r="D52" s="1171"/>
      <c r="E52" s="1172"/>
      <c r="F52" s="147">
        <f>432134-400000</f>
        <v>32134</v>
      </c>
      <c r="G52" s="147">
        <f>432134-400000+61627</f>
        <v>93761</v>
      </c>
      <c r="H52" s="147">
        <v>3748</v>
      </c>
      <c r="I52" s="125">
        <f>H52/G52*100</f>
        <v>3.9973976386770618</v>
      </c>
      <c r="J52" s="6"/>
    </row>
    <row r="53" spans="1:10" ht="12.75">
      <c r="A53" s="110">
        <v>45</v>
      </c>
      <c r="B53" s="1043" t="s">
        <v>181</v>
      </c>
      <c r="C53" s="1051"/>
      <c r="D53" s="1051"/>
      <c r="E53" s="1051"/>
      <c r="F53" s="119">
        <v>0</v>
      </c>
      <c r="G53" s="119">
        <v>0</v>
      </c>
      <c r="H53" s="119">
        <v>-20</v>
      </c>
      <c r="I53" s="118">
        <v>0</v>
      </c>
      <c r="J53" s="6"/>
    </row>
    <row r="54" spans="1:10" ht="13.5" thickBot="1">
      <c r="A54" s="110">
        <v>46</v>
      </c>
      <c r="B54" s="1168" t="s">
        <v>180</v>
      </c>
      <c r="C54" s="1169"/>
      <c r="D54" s="1169"/>
      <c r="E54" s="1169"/>
      <c r="F54" s="114">
        <f>F10+F22+F37+F44+F49++F51+F53</f>
        <v>560115</v>
      </c>
      <c r="G54" s="114">
        <f>G10+G22+G37+G44+G49+G51</f>
        <v>689479</v>
      </c>
      <c r="H54" s="114">
        <f>H10+H22+H37+H44+H50+H51+H53</f>
        <v>546759</v>
      </c>
      <c r="I54" s="113">
        <f>H54/G54*100</f>
        <v>79.30031226476804</v>
      </c>
      <c r="J54" s="6"/>
    </row>
    <row r="55" spans="2:11" ht="12.75">
      <c r="B55" s="157"/>
      <c r="C55" s="160"/>
      <c r="D55" s="160"/>
      <c r="E55" s="160"/>
      <c r="F55" s="160"/>
      <c r="G55" s="156"/>
      <c r="H55" s="156"/>
      <c r="I55" s="156"/>
      <c r="J55" s="159"/>
      <c r="K55" s="6"/>
    </row>
    <row r="56" spans="2:11" ht="12.75">
      <c r="B56" s="157"/>
      <c r="C56" s="160"/>
      <c r="D56" s="160"/>
      <c r="E56" s="160"/>
      <c r="F56" s="160"/>
      <c r="G56" s="156"/>
      <c r="H56" s="156"/>
      <c r="I56" s="156"/>
      <c r="J56" s="159"/>
      <c r="K56" s="6"/>
    </row>
    <row r="57" spans="2:11" ht="12.75">
      <c r="B57" s="157"/>
      <c r="C57" s="160"/>
      <c r="D57" s="160"/>
      <c r="E57" s="160"/>
      <c r="F57" s="160"/>
      <c r="G57" s="156"/>
      <c r="H57" s="156"/>
      <c r="I57" s="156"/>
      <c r="J57" s="159"/>
      <c r="K57" s="6"/>
    </row>
    <row r="58" spans="2:11" ht="12.75">
      <c r="B58" s="157"/>
      <c r="C58" s="160"/>
      <c r="D58" s="160"/>
      <c r="E58" s="160"/>
      <c r="F58" s="160"/>
      <c r="G58" s="156"/>
      <c r="H58" s="156"/>
      <c r="I58" s="156"/>
      <c r="J58" s="159"/>
      <c r="K58" s="6"/>
    </row>
    <row r="59" spans="2:11" ht="12.75">
      <c r="B59" s="157"/>
      <c r="C59" s="160"/>
      <c r="D59" s="160"/>
      <c r="E59" s="160"/>
      <c r="F59" s="160"/>
      <c r="G59" s="156"/>
      <c r="H59" s="156"/>
      <c r="I59" s="156"/>
      <c r="J59" s="159"/>
      <c r="K59" s="6"/>
    </row>
    <row r="60" spans="2:11" ht="12.75">
      <c r="B60" s="157"/>
      <c r="C60" s="160"/>
      <c r="D60" s="160"/>
      <c r="E60" s="160"/>
      <c r="F60" s="160"/>
      <c r="G60" s="156"/>
      <c r="H60" s="156"/>
      <c r="I60" s="156"/>
      <c r="J60" s="159"/>
      <c r="K60" s="6"/>
    </row>
    <row r="61" spans="2:11" ht="12.75">
      <c r="B61" s="157"/>
      <c r="C61" s="1177" t="s">
        <v>122</v>
      </c>
      <c r="D61" s="1177"/>
      <c r="E61" s="1177"/>
      <c r="F61" s="1177"/>
      <c r="G61" s="1177"/>
      <c r="H61" s="1177"/>
      <c r="I61" s="158" t="s">
        <v>179</v>
      </c>
      <c r="K61" s="6"/>
    </row>
    <row r="62" spans="2:11" ht="12.75">
      <c r="B62" s="157"/>
      <c r="C62" s="1177" t="s">
        <v>120</v>
      </c>
      <c r="D62" s="1177"/>
      <c r="E62" s="1177"/>
      <c r="F62" s="1177"/>
      <c r="G62" s="1177"/>
      <c r="H62" s="1177"/>
      <c r="I62" s="156"/>
      <c r="K62" s="6"/>
    </row>
    <row r="63" spans="1:11" ht="12.75">
      <c r="A63" s="155"/>
      <c r="G63" s="99"/>
      <c r="H63" s="99"/>
      <c r="I63" s="154" t="s">
        <v>4</v>
      </c>
      <c r="K63" s="6"/>
    </row>
    <row r="64" spans="2:10" ht="12.75">
      <c r="B64" s="1125" t="s">
        <v>41</v>
      </c>
      <c r="C64" s="1126"/>
      <c r="D64" s="1126"/>
      <c r="E64" s="1127"/>
      <c r="F64" s="110" t="s">
        <v>27</v>
      </c>
      <c r="G64" s="110" t="s">
        <v>28</v>
      </c>
      <c r="H64" s="153" t="s">
        <v>29</v>
      </c>
      <c r="I64" s="153" t="s">
        <v>30</v>
      </c>
      <c r="J64" s="6"/>
    </row>
    <row r="65" spans="1:10" ht="12.75" customHeight="1">
      <c r="A65" s="132"/>
      <c r="B65" s="1156" t="s">
        <v>7</v>
      </c>
      <c r="C65" s="1156"/>
      <c r="D65" s="1156"/>
      <c r="E65" s="1156"/>
      <c r="F65" s="150" t="s">
        <v>0</v>
      </c>
      <c r="G65" s="150" t="s">
        <v>1</v>
      </c>
      <c r="H65" s="1162" t="s">
        <v>2</v>
      </c>
      <c r="I65" s="1163"/>
      <c r="J65" s="6"/>
    </row>
    <row r="66" spans="1:10" ht="12.75">
      <c r="A66" s="131"/>
      <c r="B66" s="1157"/>
      <c r="C66" s="1157"/>
      <c r="D66" s="1157"/>
      <c r="E66" s="1157"/>
      <c r="F66" s="1161" t="s">
        <v>3</v>
      </c>
      <c r="G66" s="1161"/>
      <c r="H66" s="150" t="s">
        <v>119</v>
      </c>
      <c r="I66" s="149" t="s">
        <v>21</v>
      </c>
      <c r="J66" s="6"/>
    </row>
    <row r="67" spans="1:10" ht="12.75">
      <c r="A67" s="110">
        <v>47</v>
      </c>
      <c r="B67" s="1106" t="s">
        <v>178</v>
      </c>
      <c r="C67" s="1106"/>
      <c r="D67" s="1106"/>
      <c r="E67" s="1106"/>
      <c r="F67" s="119" t="s">
        <v>177</v>
      </c>
      <c r="G67" s="119" t="s">
        <v>177</v>
      </c>
      <c r="H67" s="119" t="s">
        <v>177</v>
      </c>
      <c r="I67" s="148" t="s">
        <v>177</v>
      </c>
      <c r="J67" s="6"/>
    </row>
    <row r="68" spans="1:10" ht="12.75">
      <c r="A68" s="110">
        <v>48</v>
      </c>
      <c r="B68" s="1147" t="s">
        <v>176</v>
      </c>
      <c r="C68" s="1079"/>
      <c r="D68" s="1079"/>
      <c r="E68" s="1080"/>
      <c r="F68" s="146">
        <f>F69+F70+F71+F72+F73+F74+F75+F76+F77+F78+F79+F80+F81+F82+F83+F84+F85+F87+F88+F89+F90+F91+F92+F93</f>
        <v>218164</v>
      </c>
      <c r="G68" s="146">
        <f>G69+G70+G71+G72+G73+G74+G75+G76+G77+G78+G79+G80+G81+G82+G83+G84+G85+G87+G88+G89+G90+G91+G92+G93</f>
        <v>223960</v>
      </c>
      <c r="H68" s="146">
        <f>H69+H70+H71+H72+H73+H74+H75+H76+H77+H78+H79+H80+H81+H82+H83+H84+H85+H87+H88+H89+H90+H91+H92+H93</f>
        <v>209767</v>
      </c>
      <c r="I68" s="127">
        <f aca="true" t="shared" si="1" ref="I68:I73">H68/G68*100</f>
        <v>93.66270762636185</v>
      </c>
      <c r="J68" s="6"/>
    </row>
    <row r="69" spans="1:10" ht="12.75">
      <c r="A69" s="110">
        <v>49</v>
      </c>
      <c r="B69" s="1051" t="s">
        <v>175</v>
      </c>
      <c r="C69" s="1106"/>
      <c r="D69" s="1106"/>
      <c r="E69" s="1106"/>
      <c r="F69" s="147">
        <v>168940</v>
      </c>
      <c r="G69" s="147">
        <v>158477</v>
      </c>
      <c r="H69" s="147">
        <v>135986</v>
      </c>
      <c r="I69" s="125">
        <f t="shared" si="1"/>
        <v>85.80803523539694</v>
      </c>
      <c r="J69" s="6"/>
    </row>
    <row r="70" spans="1:10" s="26" customFormat="1" ht="12.75">
      <c r="A70" s="110">
        <v>50</v>
      </c>
      <c r="B70" s="1051" t="s">
        <v>174</v>
      </c>
      <c r="C70" s="1106"/>
      <c r="D70" s="1106"/>
      <c r="E70" s="1106"/>
      <c r="F70" s="147">
        <v>1597</v>
      </c>
      <c r="G70" s="147">
        <v>1597</v>
      </c>
      <c r="H70" s="147">
        <v>1139</v>
      </c>
      <c r="I70" s="125">
        <f t="shared" si="1"/>
        <v>71.32122730118972</v>
      </c>
      <c r="J70" s="6"/>
    </row>
    <row r="71" spans="1:9" ht="12.75">
      <c r="A71" s="110">
        <v>51</v>
      </c>
      <c r="B71" s="1155" t="s">
        <v>173</v>
      </c>
      <c r="C71" s="1042"/>
      <c r="D71" s="1042"/>
      <c r="E71" s="1043"/>
      <c r="F71" s="147">
        <v>1210</v>
      </c>
      <c r="G71" s="147">
        <v>1210</v>
      </c>
      <c r="H71" s="147">
        <v>1052</v>
      </c>
      <c r="I71" s="125">
        <f t="shared" si="1"/>
        <v>86.94214876033057</v>
      </c>
    </row>
    <row r="72" spans="1:10" ht="12.75">
      <c r="A72" s="110">
        <v>52</v>
      </c>
      <c r="B72" s="1051" t="s">
        <v>172</v>
      </c>
      <c r="C72" s="1106"/>
      <c r="D72" s="1106"/>
      <c r="E72" s="1106"/>
      <c r="F72" s="147">
        <v>8100</v>
      </c>
      <c r="G72" s="147">
        <v>8438</v>
      </c>
      <c r="H72" s="147">
        <v>6997</v>
      </c>
      <c r="I72" s="125">
        <f t="shared" si="1"/>
        <v>82.92249348186775</v>
      </c>
      <c r="J72" s="26"/>
    </row>
    <row r="73" spans="1:9" ht="12.75">
      <c r="A73" s="110">
        <v>53</v>
      </c>
      <c r="B73" s="1051" t="s">
        <v>171</v>
      </c>
      <c r="C73" s="1106"/>
      <c r="D73" s="1106"/>
      <c r="E73" s="1106"/>
      <c r="F73" s="147">
        <v>72</v>
      </c>
      <c r="G73" s="147">
        <v>72</v>
      </c>
      <c r="H73" s="147">
        <v>273</v>
      </c>
      <c r="I73" s="125">
        <f t="shared" si="1"/>
        <v>379.16666666666663</v>
      </c>
    </row>
    <row r="74" spans="1:9" ht="12.75">
      <c r="A74" s="110">
        <v>54</v>
      </c>
      <c r="B74" s="1051" t="s">
        <v>170</v>
      </c>
      <c r="C74" s="1106"/>
      <c r="D74" s="1106"/>
      <c r="E74" s="1106"/>
      <c r="F74" s="147">
        <v>0</v>
      </c>
      <c r="G74" s="147">
        <v>0</v>
      </c>
      <c r="H74" s="147">
        <v>6260</v>
      </c>
      <c r="I74" s="125">
        <v>0</v>
      </c>
    </row>
    <row r="75" spans="1:9" ht="12.75">
      <c r="A75" s="110">
        <v>55</v>
      </c>
      <c r="B75" s="1051" t="s">
        <v>169</v>
      </c>
      <c r="C75" s="1106"/>
      <c r="D75" s="1106"/>
      <c r="E75" s="1106"/>
      <c r="F75" s="147">
        <v>0</v>
      </c>
      <c r="G75" s="147">
        <v>755</v>
      </c>
      <c r="H75" s="147">
        <v>3986</v>
      </c>
      <c r="I75" s="125">
        <f>H75/G75*100</f>
        <v>527.9470198675497</v>
      </c>
    </row>
    <row r="76" spans="1:9" ht="12.75">
      <c r="A76" s="110">
        <v>56</v>
      </c>
      <c r="B76" s="1051" t="s">
        <v>168</v>
      </c>
      <c r="C76" s="1106"/>
      <c r="D76" s="1106"/>
      <c r="E76" s="1106"/>
      <c r="F76" s="147">
        <v>903</v>
      </c>
      <c r="G76" s="147">
        <v>903</v>
      </c>
      <c r="H76" s="147">
        <v>4165</v>
      </c>
      <c r="I76" s="125">
        <f>H76/G76*100</f>
        <v>461.2403100775194</v>
      </c>
    </row>
    <row r="77" spans="1:9" ht="12.75">
      <c r="A77" s="110">
        <v>57</v>
      </c>
      <c r="B77" s="1051" t="s">
        <v>167</v>
      </c>
      <c r="C77" s="1106"/>
      <c r="D77" s="1106"/>
      <c r="E77" s="1106"/>
      <c r="F77" s="147">
        <v>2205</v>
      </c>
      <c r="G77" s="147">
        <v>15836</v>
      </c>
      <c r="H77" s="147">
        <v>9119</v>
      </c>
      <c r="I77" s="125">
        <f>H77/G77*100</f>
        <v>57.5839858550139</v>
      </c>
    </row>
    <row r="78" spans="1:9" ht="12.75">
      <c r="A78" s="110">
        <v>58</v>
      </c>
      <c r="B78" s="1051" t="s">
        <v>166</v>
      </c>
      <c r="C78" s="1106"/>
      <c r="D78" s="1106"/>
      <c r="E78" s="1106"/>
      <c r="F78" s="147">
        <v>0</v>
      </c>
      <c r="G78" s="147">
        <v>0</v>
      </c>
      <c r="H78" s="147">
        <v>829</v>
      </c>
      <c r="I78" s="125">
        <v>0</v>
      </c>
    </row>
    <row r="79" spans="1:9" ht="12.75">
      <c r="A79" s="110">
        <v>59</v>
      </c>
      <c r="B79" s="1155" t="s">
        <v>165</v>
      </c>
      <c r="C79" s="1042"/>
      <c r="D79" s="1042"/>
      <c r="E79" s="1043"/>
      <c r="F79" s="147">
        <v>1657</v>
      </c>
      <c r="G79" s="147">
        <v>0</v>
      </c>
      <c r="H79" s="147">
        <v>0</v>
      </c>
      <c r="I79" s="125">
        <v>0</v>
      </c>
    </row>
    <row r="80" spans="1:9" ht="12.75">
      <c r="A80" s="110">
        <v>60</v>
      </c>
      <c r="B80" s="1051" t="s">
        <v>164</v>
      </c>
      <c r="C80" s="1106"/>
      <c r="D80" s="1106"/>
      <c r="E80" s="1106"/>
      <c r="F80" s="147">
        <v>0</v>
      </c>
      <c r="G80" s="147">
        <v>0</v>
      </c>
      <c r="H80" s="147">
        <v>0</v>
      </c>
      <c r="I80" s="125">
        <v>0</v>
      </c>
    </row>
    <row r="81" spans="1:9" ht="12.75">
      <c r="A81" s="110">
        <v>61</v>
      </c>
      <c r="B81" s="1051" t="s">
        <v>163</v>
      </c>
      <c r="C81" s="1106"/>
      <c r="D81" s="1106"/>
      <c r="E81" s="1106"/>
      <c r="F81" s="147">
        <v>5598</v>
      </c>
      <c r="G81" s="147">
        <v>5598</v>
      </c>
      <c r="H81" s="147">
        <v>5611</v>
      </c>
      <c r="I81" s="125">
        <f>H81/G81*100</f>
        <v>100.23222579492676</v>
      </c>
    </row>
    <row r="82" spans="1:9" ht="12.75">
      <c r="A82" s="110">
        <v>62</v>
      </c>
      <c r="B82" s="1051" t="s">
        <v>162</v>
      </c>
      <c r="C82" s="1106"/>
      <c r="D82" s="1106"/>
      <c r="E82" s="1106"/>
      <c r="F82" s="147">
        <v>0</v>
      </c>
      <c r="G82" s="147">
        <v>0</v>
      </c>
      <c r="H82" s="147">
        <v>0</v>
      </c>
      <c r="I82" s="125">
        <v>0</v>
      </c>
    </row>
    <row r="83" spans="1:9" ht="12.75">
      <c r="A83" s="110">
        <v>63</v>
      </c>
      <c r="B83" s="1051" t="s">
        <v>161</v>
      </c>
      <c r="C83" s="1106"/>
      <c r="D83" s="1106"/>
      <c r="E83" s="1106"/>
      <c r="F83" s="147">
        <v>2370</v>
      </c>
      <c r="G83" s="147">
        <v>2495</v>
      </c>
      <c r="H83" s="147">
        <v>3672</v>
      </c>
      <c r="I83" s="125">
        <f>H83/G83*100</f>
        <v>147.17434869739478</v>
      </c>
    </row>
    <row r="84" spans="1:9" ht="12.75">
      <c r="A84" s="110">
        <v>64</v>
      </c>
      <c r="B84" s="1155" t="s">
        <v>160</v>
      </c>
      <c r="C84" s="1042"/>
      <c r="D84" s="1042"/>
      <c r="E84" s="1043"/>
      <c r="F84" s="147">
        <v>0</v>
      </c>
      <c r="G84" s="147">
        <v>0</v>
      </c>
      <c r="H84" s="147">
        <v>41</v>
      </c>
      <c r="I84" s="125">
        <v>0</v>
      </c>
    </row>
    <row r="85" spans="1:9" ht="12.75">
      <c r="A85" s="110">
        <v>65</v>
      </c>
      <c r="B85" s="1051" t="s">
        <v>159</v>
      </c>
      <c r="C85" s="1106"/>
      <c r="D85" s="1106"/>
      <c r="E85" s="1106"/>
      <c r="F85" s="147">
        <v>1761</v>
      </c>
      <c r="G85" s="147">
        <v>1761</v>
      </c>
      <c r="H85" s="147">
        <v>1514</v>
      </c>
      <c r="I85" s="125">
        <f>H85/G85*100</f>
        <v>85.97387847813742</v>
      </c>
    </row>
    <row r="86" spans="1:9" ht="12.75">
      <c r="A86" s="110">
        <v>66</v>
      </c>
      <c r="B86" s="1051" t="s">
        <v>158</v>
      </c>
      <c r="C86" s="1106"/>
      <c r="D86" s="1106"/>
      <c r="E86" s="1106"/>
      <c r="F86" s="147">
        <v>0</v>
      </c>
      <c r="G86" s="147">
        <v>0</v>
      </c>
      <c r="H86" s="147">
        <v>0</v>
      </c>
      <c r="I86" s="125">
        <v>0</v>
      </c>
    </row>
    <row r="87" spans="1:9" ht="12.75">
      <c r="A87" s="110">
        <v>67</v>
      </c>
      <c r="B87" s="1051" t="s">
        <v>157</v>
      </c>
      <c r="C87" s="1051"/>
      <c r="D87" s="1051"/>
      <c r="E87" s="1051"/>
      <c r="F87" s="147">
        <v>701</v>
      </c>
      <c r="G87" s="147">
        <v>701</v>
      </c>
      <c r="H87" s="147">
        <v>692</v>
      </c>
      <c r="I87" s="125">
        <f>H87/G87*100</f>
        <v>98.71611982881598</v>
      </c>
    </row>
    <row r="88" spans="1:9" ht="12.75">
      <c r="A88" s="110">
        <v>68</v>
      </c>
      <c r="B88" s="1051" t="s">
        <v>156</v>
      </c>
      <c r="C88" s="1051"/>
      <c r="D88" s="1051"/>
      <c r="E88" s="1051"/>
      <c r="F88" s="147">
        <v>6264</v>
      </c>
      <c r="G88" s="147">
        <v>6298</v>
      </c>
      <c r="H88" s="147">
        <v>5953</v>
      </c>
      <c r="I88" s="125">
        <f>H88/G88*100</f>
        <v>94.52207049857097</v>
      </c>
    </row>
    <row r="89" spans="1:9" ht="12.75">
      <c r="A89" s="110">
        <v>69</v>
      </c>
      <c r="B89" s="1051" t="s">
        <v>155</v>
      </c>
      <c r="C89" s="1051"/>
      <c r="D89" s="1051"/>
      <c r="E89" s="1051"/>
      <c r="F89" s="147">
        <v>6265</v>
      </c>
      <c r="G89" s="147">
        <v>6385</v>
      </c>
      <c r="H89" s="147">
        <v>6067</v>
      </c>
      <c r="I89" s="125">
        <f>H89/G89*100</f>
        <v>95.01957713390759</v>
      </c>
    </row>
    <row r="90" spans="1:9" ht="12.75">
      <c r="A90" s="110">
        <v>70</v>
      </c>
      <c r="B90" s="1051" t="s">
        <v>154</v>
      </c>
      <c r="C90" s="1051"/>
      <c r="D90" s="1051"/>
      <c r="E90" s="1051"/>
      <c r="F90" s="147">
        <v>0</v>
      </c>
      <c r="G90" s="147">
        <v>0</v>
      </c>
      <c r="H90" s="147">
        <v>35</v>
      </c>
      <c r="I90" s="125">
        <v>0</v>
      </c>
    </row>
    <row r="91" spans="1:9" ht="12.75">
      <c r="A91" s="110">
        <v>71</v>
      </c>
      <c r="B91" s="1155" t="s">
        <v>153</v>
      </c>
      <c r="C91" s="1042"/>
      <c r="D91" s="1042"/>
      <c r="E91" s="1043"/>
      <c r="F91" s="147">
        <v>0</v>
      </c>
      <c r="G91" s="147">
        <v>0</v>
      </c>
      <c r="H91" s="147">
        <v>0</v>
      </c>
      <c r="I91" s="125">
        <v>0</v>
      </c>
    </row>
    <row r="92" spans="1:9" ht="12.75">
      <c r="A92" s="110">
        <v>72</v>
      </c>
      <c r="B92" s="1051" t="s">
        <v>152</v>
      </c>
      <c r="C92" s="1051"/>
      <c r="D92" s="1051"/>
      <c r="E92" s="1051"/>
      <c r="F92" s="147">
        <v>10521</v>
      </c>
      <c r="G92" s="147">
        <v>13434</v>
      </c>
      <c r="H92" s="147">
        <v>16376</v>
      </c>
      <c r="I92" s="125">
        <f>H92/G92*100</f>
        <v>121.8996575852315</v>
      </c>
    </row>
    <row r="93" spans="1:9" ht="12.75">
      <c r="A93" s="110">
        <v>73</v>
      </c>
      <c r="B93" s="1051" t="s">
        <v>151</v>
      </c>
      <c r="C93" s="1051"/>
      <c r="D93" s="1051"/>
      <c r="E93" s="1051"/>
      <c r="F93" s="147">
        <v>0</v>
      </c>
      <c r="G93" s="147">
        <v>0</v>
      </c>
      <c r="H93" s="147">
        <v>0</v>
      </c>
      <c r="I93" s="125">
        <v>0</v>
      </c>
    </row>
    <row r="94" spans="1:9" ht="12.75">
      <c r="A94" s="110">
        <v>74</v>
      </c>
      <c r="B94" s="100" t="s">
        <v>150</v>
      </c>
      <c r="C94" s="100"/>
      <c r="D94" s="117"/>
      <c r="E94" s="98"/>
      <c r="F94" s="146">
        <f>F95++F96+F97+F98+F99</f>
        <v>69288</v>
      </c>
      <c r="G94" s="146">
        <f>G95+G96+G97+G98+G99</f>
        <v>70879</v>
      </c>
      <c r="H94" s="146">
        <f>H95++H96+H97+H98+H99</f>
        <v>62373</v>
      </c>
      <c r="I94" s="127">
        <f>H94/G94*100</f>
        <v>87.99926635533797</v>
      </c>
    </row>
    <row r="95" spans="1:9" ht="12.75">
      <c r="A95" s="110">
        <v>75</v>
      </c>
      <c r="B95" s="1051" t="s">
        <v>149</v>
      </c>
      <c r="C95" s="1051"/>
      <c r="D95" s="1051"/>
      <c r="E95" s="1051"/>
      <c r="F95" s="145">
        <v>58158</v>
      </c>
      <c r="G95" s="145">
        <v>59639</v>
      </c>
      <c r="H95" s="145">
        <v>52978</v>
      </c>
      <c r="I95" s="125">
        <f>H95/G95*100</f>
        <v>88.83113398950351</v>
      </c>
    </row>
    <row r="96" spans="1:9" ht="12.75">
      <c r="A96" s="110">
        <v>76</v>
      </c>
      <c r="B96" s="1051" t="s">
        <v>148</v>
      </c>
      <c r="C96" s="1051"/>
      <c r="D96" s="1051"/>
      <c r="E96" s="1051"/>
      <c r="F96" s="145">
        <v>5977</v>
      </c>
      <c r="G96" s="145">
        <v>6056</v>
      </c>
      <c r="H96" s="145">
        <v>4321</v>
      </c>
      <c r="I96" s="125">
        <f>H96/G96*100</f>
        <v>71.35072655217965</v>
      </c>
    </row>
    <row r="97" spans="1:9" ht="12.75">
      <c r="A97" s="110">
        <v>77</v>
      </c>
      <c r="B97" s="1051" t="s">
        <v>147</v>
      </c>
      <c r="C97" s="1051"/>
      <c r="D97" s="1051"/>
      <c r="E97" s="1051"/>
      <c r="F97" s="145">
        <v>2108</v>
      </c>
      <c r="G97" s="145">
        <v>2139</v>
      </c>
      <c r="H97" s="145">
        <v>2132</v>
      </c>
      <c r="I97" s="125">
        <f>H97/G97*100</f>
        <v>99.67274427302478</v>
      </c>
    </row>
    <row r="98" spans="1:9" ht="12.75">
      <c r="A98" s="110">
        <v>78</v>
      </c>
      <c r="B98" s="1051" t="s">
        <v>146</v>
      </c>
      <c r="C98" s="1051"/>
      <c r="D98" s="1051"/>
      <c r="E98" s="1051"/>
      <c r="F98" s="145">
        <v>0</v>
      </c>
      <c r="G98" s="145">
        <v>0</v>
      </c>
      <c r="H98" s="145">
        <v>109</v>
      </c>
      <c r="I98" s="125">
        <v>0</v>
      </c>
    </row>
    <row r="99" spans="1:9" ht="12.75">
      <c r="A99" s="110">
        <v>79</v>
      </c>
      <c r="B99" s="1051" t="s">
        <v>145</v>
      </c>
      <c r="C99" s="1051"/>
      <c r="D99" s="1051"/>
      <c r="E99" s="1051"/>
      <c r="F99" s="145">
        <v>3045</v>
      </c>
      <c r="G99" s="145">
        <v>3045</v>
      </c>
      <c r="H99" s="145">
        <v>2833</v>
      </c>
      <c r="I99" s="125">
        <f aca="true" t="shared" si="2" ref="I99:I121">H99/G99*100</f>
        <v>93.03776683087028</v>
      </c>
    </row>
    <row r="100" spans="1:9" ht="12.75">
      <c r="A100" s="110">
        <v>80</v>
      </c>
      <c r="B100" s="1147" t="s">
        <v>144</v>
      </c>
      <c r="C100" s="1079"/>
      <c r="D100" s="1079"/>
      <c r="E100" s="1080"/>
      <c r="F100" s="123">
        <f>F101+F102+F103+F104+F105+F106+F107+F108+F109+F110+F111+F112+F113+F114+F115+F116+F117+F118+F119+F120+F121+F128+F129+F131+F132+F133+F134+F135+F137+F138+F139+F140+F141+F130+F136</f>
        <v>168694</v>
      </c>
      <c r="G100" s="123">
        <f>G101+G102+G103+G104+G105+G106+G107+G108+G109+G110+G111+G112+G113+G114+G115+G116+G117+G118+G119+G120+G121+G128+G129+G131+G132+G133+G134+G135+G137+G138+G139+G140+G141+G130+G136</f>
        <v>187192</v>
      </c>
      <c r="H100" s="123">
        <f>H101+H102+H103+H104+H105+H106+H107+H108+H109+H110+H111+H112+H113+H114+H115+H116+H117+H118+H119+H120+H121+H128+H129+H131+H132+H133+H134+H135+H137+H138+H139+H140+H141+H130+H136</f>
        <v>180778</v>
      </c>
      <c r="I100" s="127">
        <f t="shared" si="2"/>
        <v>96.57357152015044</v>
      </c>
    </row>
    <row r="101" spans="1:12" ht="12.75">
      <c r="A101" s="110">
        <v>81</v>
      </c>
      <c r="B101" s="1134" t="s">
        <v>143</v>
      </c>
      <c r="C101" s="1134"/>
      <c r="D101" s="1134"/>
      <c r="E101" s="1134"/>
      <c r="F101" s="126">
        <v>1460</v>
      </c>
      <c r="G101" s="126">
        <v>1460</v>
      </c>
      <c r="H101" s="126">
        <v>1456</v>
      </c>
      <c r="I101" s="125">
        <f t="shared" si="2"/>
        <v>99.72602739726028</v>
      </c>
      <c r="L101" s="6"/>
    </row>
    <row r="102" spans="1:9" ht="12.75">
      <c r="A102" s="110">
        <v>82</v>
      </c>
      <c r="B102" s="1134" t="s">
        <v>142</v>
      </c>
      <c r="C102" s="1134"/>
      <c r="D102" s="1134"/>
      <c r="E102" s="1134"/>
      <c r="F102" s="126">
        <v>3815</v>
      </c>
      <c r="G102" s="126">
        <v>3914</v>
      </c>
      <c r="H102" s="126">
        <v>3341</v>
      </c>
      <c r="I102" s="125">
        <f t="shared" si="2"/>
        <v>85.36024527337761</v>
      </c>
    </row>
    <row r="103" spans="1:9" ht="12.75">
      <c r="A103" s="110">
        <v>83</v>
      </c>
      <c r="B103" s="1134" t="s">
        <v>141</v>
      </c>
      <c r="C103" s="1134"/>
      <c r="D103" s="1134"/>
      <c r="E103" s="1134"/>
      <c r="F103" s="126">
        <v>2698</v>
      </c>
      <c r="G103" s="126">
        <v>2844</v>
      </c>
      <c r="H103" s="126">
        <v>3326</v>
      </c>
      <c r="I103" s="125">
        <f t="shared" si="2"/>
        <v>116.9479606188467</v>
      </c>
    </row>
    <row r="104" spans="1:9" ht="12.75">
      <c r="A104" s="110">
        <v>84</v>
      </c>
      <c r="B104" s="1134" t="s">
        <v>140</v>
      </c>
      <c r="C104" s="1134"/>
      <c r="D104" s="1134"/>
      <c r="E104" s="1134"/>
      <c r="F104" s="126">
        <v>1075</v>
      </c>
      <c r="G104" s="126">
        <v>1075</v>
      </c>
      <c r="H104" s="126">
        <v>619</v>
      </c>
      <c r="I104" s="125">
        <f t="shared" si="2"/>
        <v>57.581395348837205</v>
      </c>
    </row>
    <row r="105" spans="1:9" ht="12.75">
      <c r="A105" s="110">
        <v>85</v>
      </c>
      <c r="B105" s="1134" t="s">
        <v>139</v>
      </c>
      <c r="C105" s="1134"/>
      <c r="D105" s="1134"/>
      <c r="E105" s="1134"/>
      <c r="F105" s="126">
        <v>350</v>
      </c>
      <c r="G105" s="126">
        <v>350</v>
      </c>
      <c r="H105" s="126">
        <v>377</v>
      </c>
      <c r="I105" s="125">
        <f t="shared" si="2"/>
        <v>107.71428571428572</v>
      </c>
    </row>
    <row r="106" spans="1:9" ht="12.75">
      <c r="A106" s="110">
        <v>86</v>
      </c>
      <c r="B106" s="1134" t="s">
        <v>138</v>
      </c>
      <c r="C106" s="1134"/>
      <c r="D106" s="1134"/>
      <c r="E106" s="1134"/>
      <c r="F106" s="126">
        <v>10</v>
      </c>
      <c r="G106" s="126">
        <v>10</v>
      </c>
      <c r="H106" s="126">
        <v>0</v>
      </c>
      <c r="I106" s="125">
        <f t="shared" si="2"/>
        <v>0</v>
      </c>
    </row>
    <row r="107" spans="1:9" ht="12.75">
      <c r="A107" s="110">
        <v>87</v>
      </c>
      <c r="B107" s="1134" t="s">
        <v>137</v>
      </c>
      <c r="C107" s="1134"/>
      <c r="D107" s="1134"/>
      <c r="E107" s="1134"/>
      <c r="F107" s="126">
        <v>580</v>
      </c>
      <c r="G107" s="126">
        <v>580</v>
      </c>
      <c r="H107" s="126">
        <v>392</v>
      </c>
      <c r="I107" s="125">
        <f t="shared" si="2"/>
        <v>67.58620689655173</v>
      </c>
    </row>
    <row r="108" spans="1:9" ht="12.75">
      <c r="A108" s="110">
        <v>88</v>
      </c>
      <c r="B108" s="1134" t="s">
        <v>136</v>
      </c>
      <c r="C108" s="1134"/>
      <c r="D108" s="1134"/>
      <c r="E108" s="1134"/>
      <c r="F108" s="126">
        <v>865</v>
      </c>
      <c r="G108" s="126">
        <v>920</v>
      </c>
      <c r="H108" s="126">
        <v>654</v>
      </c>
      <c r="I108" s="125">
        <f t="shared" si="2"/>
        <v>71.08695652173913</v>
      </c>
    </row>
    <row r="109" spans="1:9" ht="12.75">
      <c r="A109" s="110">
        <v>89</v>
      </c>
      <c r="B109" s="1134" t="s">
        <v>135</v>
      </c>
      <c r="C109" s="1134"/>
      <c r="D109" s="1134"/>
      <c r="E109" s="1134"/>
      <c r="F109" s="126">
        <v>2750</v>
      </c>
      <c r="G109" s="126">
        <v>3242</v>
      </c>
      <c r="H109" s="126">
        <v>3659</v>
      </c>
      <c r="I109" s="125">
        <f t="shared" si="2"/>
        <v>112.86243059839605</v>
      </c>
    </row>
    <row r="110" spans="1:9" ht="12.75">
      <c r="A110" s="110">
        <v>90</v>
      </c>
      <c r="B110" s="1134" t="s">
        <v>134</v>
      </c>
      <c r="C110" s="1134"/>
      <c r="D110" s="1134"/>
      <c r="E110" s="1134"/>
      <c r="F110" s="126">
        <v>880</v>
      </c>
      <c r="G110" s="126">
        <v>880</v>
      </c>
      <c r="H110" s="126">
        <v>570</v>
      </c>
      <c r="I110" s="125">
        <f t="shared" si="2"/>
        <v>64.77272727272727</v>
      </c>
    </row>
    <row r="111" spans="1:9" ht="12.75">
      <c r="A111" s="110">
        <v>91</v>
      </c>
      <c r="B111" s="1134" t="s">
        <v>133</v>
      </c>
      <c r="C111" s="1134"/>
      <c r="D111" s="1134"/>
      <c r="E111" s="1134"/>
      <c r="F111" s="126">
        <v>5410</v>
      </c>
      <c r="G111" s="126">
        <v>5522</v>
      </c>
      <c r="H111" s="126">
        <v>2780</v>
      </c>
      <c r="I111" s="125">
        <f t="shared" si="2"/>
        <v>50.344078232524446</v>
      </c>
    </row>
    <row r="112" spans="1:9" ht="12.75">
      <c r="A112" s="110">
        <v>92</v>
      </c>
      <c r="B112" s="1134" t="s">
        <v>132</v>
      </c>
      <c r="C112" s="1134"/>
      <c r="D112" s="1134"/>
      <c r="E112" s="1134"/>
      <c r="F112" s="126">
        <v>2660</v>
      </c>
      <c r="G112" s="126">
        <v>2660</v>
      </c>
      <c r="H112" s="126">
        <v>2459</v>
      </c>
      <c r="I112" s="125">
        <f t="shared" si="2"/>
        <v>92.44360902255639</v>
      </c>
    </row>
    <row r="113" spans="1:9" ht="12.75">
      <c r="A113" s="110">
        <v>93</v>
      </c>
      <c r="B113" s="1134" t="s">
        <v>131</v>
      </c>
      <c r="C113" s="1134"/>
      <c r="D113" s="1134"/>
      <c r="E113" s="1134"/>
      <c r="F113" s="126">
        <v>746</v>
      </c>
      <c r="G113" s="126">
        <v>656</v>
      </c>
      <c r="H113" s="126">
        <v>555</v>
      </c>
      <c r="I113" s="125">
        <f t="shared" si="2"/>
        <v>84.60365853658537</v>
      </c>
    </row>
    <row r="114" spans="1:9" ht="12.75">
      <c r="A114" s="110">
        <v>94</v>
      </c>
      <c r="B114" s="1134" t="s">
        <v>130</v>
      </c>
      <c r="C114" s="1134"/>
      <c r="D114" s="1134"/>
      <c r="E114" s="1134"/>
      <c r="F114" s="126">
        <v>450</v>
      </c>
      <c r="G114" s="126">
        <v>450</v>
      </c>
      <c r="H114" s="126">
        <v>511</v>
      </c>
      <c r="I114" s="125">
        <f t="shared" si="2"/>
        <v>113.55555555555557</v>
      </c>
    </row>
    <row r="115" spans="1:9" ht="12.75">
      <c r="A115" s="110">
        <v>95</v>
      </c>
      <c r="B115" s="1134" t="s">
        <v>129</v>
      </c>
      <c r="C115" s="1134"/>
      <c r="D115" s="1134"/>
      <c r="E115" s="1134"/>
      <c r="F115" s="126">
        <v>14364</v>
      </c>
      <c r="G115" s="126">
        <v>14864</v>
      </c>
      <c r="H115" s="126">
        <v>17265</v>
      </c>
      <c r="I115" s="125">
        <f t="shared" si="2"/>
        <v>116.15312163616794</v>
      </c>
    </row>
    <row r="116" spans="1:9" ht="12.75">
      <c r="A116" s="110">
        <v>96</v>
      </c>
      <c r="B116" s="1134" t="s">
        <v>128</v>
      </c>
      <c r="C116" s="1134"/>
      <c r="D116" s="1134"/>
      <c r="E116" s="1134"/>
      <c r="F116" s="126">
        <v>0</v>
      </c>
      <c r="G116" s="126">
        <v>287</v>
      </c>
      <c r="H116" s="126">
        <v>287</v>
      </c>
      <c r="I116" s="125">
        <f t="shared" si="2"/>
        <v>100</v>
      </c>
    </row>
    <row r="117" spans="1:9" ht="13.5" customHeight="1">
      <c r="A117" s="110">
        <v>97</v>
      </c>
      <c r="B117" s="1152" t="s">
        <v>127</v>
      </c>
      <c r="C117" s="1153"/>
      <c r="D117" s="1153"/>
      <c r="E117" s="1154"/>
      <c r="F117" s="126">
        <v>1040</v>
      </c>
      <c r="G117" s="126">
        <v>1595</v>
      </c>
      <c r="H117" s="126">
        <v>1192</v>
      </c>
      <c r="I117" s="125">
        <f t="shared" si="2"/>
        <v>74.73354231974922</v>
      </c>
    </row>
    <row r="118" spans="1:9" ht="14.25" customHeight="1">
      <c r="A118" s="110">
        <v>98</v>
      </c>
      <c r="B118" s="1134" t="s">
        <v>126</v>
      </c>
      <c r="C118" s="1134"/>
      <c r="D118" s="1134"/>
      <c r="E118" s="1134"/>
      <c r="F118" s="126">
        <v>9050</v>
      </c>
      <c r="G118" s="126">
        <v>9050</v>
      </c>
      <c r="H118" s="126">
        <v>9977</v>
      </c>
      <c r="I118" s="125">
        <f t="shared" si="2"/>
        <v>110.24309392265192</v>
      </c>
    </row>
    <row r="119" spans="1:9" ht="12.75">
      <c r="A119" s="110">
        <v>99</v>
      </c>
      <c r="B119" s="1134" t="s">
        <v>125</v>
      </c>
      <c r="C119" s="1134"/>
      <c r="D119" s="1134"/>
      <c r="E119" s="1134"/>
      <c r="F119" s="126">
        <v>7940</v>
      </c>
      <c r="G119" s="126">
        <v>7940</v>
      </c>
      <c r="H119" s="126">
        <v>7410</v>
      </c>
      <c r="I119" s="125">
        <f t="shared" si="2"/>
        <v>93.3249370277078</v>
      </c>
    </row>
    <row r="120" spans="1:9" ht="12.75">
      <c r="A120" s="110">
        <v>100</v>
      </c>
      <c r="B120" s="1134" t="s">
        <v>124</v>
      </c>
      <c r="C120" s="1134"/>
      <c r="D120" s="1134"/>
      <c r="E120" s="1134"/>
      <c r="F120" s="126">
        <v>1285</v>
      </c>
      <c r="G120" s="126">
        <v>1285</v>
      </c>
      <c r="H120" s="126">
        <v>1207</v>
      </c>
      <c r="I120" s="125">
        <f t="shared" si="2"/>
        <v>93.92996108949416</v>
      </c>
    </row>
    <row r="121" spans="1:9" ht="24" customHeight="1" thickBot="1">
      <c r="A121" s="110">
        <v>101</v>
      </c>
      <c r="B121" s="1136" t="s">
        <v>123</v>
      </c>
      <c r="C121" s="1137"/>
      <c r="D121" s="1137"/>
      <c r="E121" s="1138"/>
      <c r="F121" s="143">
        <v>2770</v>
      </c>
      <c r="G121" s="143">
        <v>2985</v>
      </c>
      <c r="H121" s="143">
        <v>3791</v>
      </c>
      <c r="I121" s="142">
        <f t="shared" si="2"/>
        <v>127.00167504187606</v>
      </c>
    </row>
    <row r="122" spans="2:10" ht="15" customHeight="1">
      <c r="B122" s="139"/>
      <c r="C122" s="16"/>
      <c r="D122" s="16"/>
      <c r="E122" s="16"/>
      <c r="F122" s="16"/>
      <c r="G122" s="141"/>
      <c r="H122" s="141"/>
      <c r="I122" s="141"/>
      <c r="J122" s="140"/>
    </row>
    <row r="123" spans="2:9" ht="12.75" customHeight="1">
      <c r="B123" s="1173" t="s">
        <v>122</v>
      </c>
      <c r="C123" s="1173"/>
      <c r="D123" s="1173"/>
      <c r="E123" s="1173"/>
      <c r="F123" s="1173"/>
      <c r="G123" s="1173"/>
      <c r="H123" s="1173"/>
      <c r="I123" s="138" t="s">
        <v>121</v>
      </c>
    </row>
    <row r="124" spans="2:9" ht="12.75" customHeight="1">
      <c r="B124" s="1178" t="s">
        <v>120</v>
      </c>
      <c r="C124" s="1178"/>
      <c r="D124" s="1178"/>
      <c r="E124" s="1178"/>
      <c r="F124" s="1178"/>
      <c r="G124" s="1178"/>
      <c r="H124" s="1178"/>
      <c r="I124" s="137" t="s">
        <v>4</v>
      </c>
    </row>
    <row r="125" spans="1:9" ht="10.5" customHeight="1">
      <c r="A125" s="136"/>
      <c r="B125" s="1125" t="s">
        <v>41</v>
      </c>
      <c r="C125" s="1126"/>
      <c r="D125" s="1126"/>
      <c r="E125" s="1127"/>
      <c r="F125" s="110" t="s">
        <v>27</v>
      </c>
      <c r="G125" s="110" t="s">
        <v>28</v>
      </c>
      <c r="H125" s="110" t="s">
        <v>29</v>
      </c>
      <c r="I125" s="110" t="s">
        <v>30</v>
      </c>
    </row>
    <row r="126" spans="1:9" ht="15" customHeight="1">
      <c r="A126" s="132"/>
      <c r="B126" s="1135" t="s">
        <v>7</v>
      </c>
      <c r="C126" s="1135"/>
      <c r="D126" s="1135"/>
      <c r="E126" s="1135"/>
      <c r="F126" s="130" t="s">
        <v>0</v>
      </c>
      <c r="G126" s="130" t="s">
        <v>1</v>
      </c>
      <c r="H126" s="1141" t="s">
        <v>2</v>
      </c>
      <c r="I126" s="1142"/>
    </row>
    <row r="127" spans="1:9" ht="14.25" customHeight="1">
      <c r="A127" s="131"/>
      <c r="B127" s="1135"/>
      <c r="C127" s="1135"/>
      <c r="D127" s="1135"/>
      <c r="E127" s="1135"/>
      <c r="F127" s="1143" t="s">
        <v>3</v>
      </c>
      <c r="G127" s="1143"/>
      <c r="H127" s="130" t="s">
        <v>119</v>
      </c>
      <c r="I127" s="129" t="s">
        <v>21</v>
      </c>
    </row>
    <row r="128" spans="1:9" ht="15" customHeight="1">
      <c r="A128" s="110">
        <v>102</v>
      </c>
      <c r="B128" s="1121" t="s">
        <v>118</v>
      </c>
      <c r="C128" s="1121"/>
      <c r="D128" s="1121"/>
      <c r="E128" s="1121"/>
      <c r="F128" s="126">
        <v>54732</v>
      </c>
      <c r="G128" s="126">
        <v>63265</v>
      </c>
      <c r="H128" s="126">
        <v>54930</v>
      </c>
      <c r="I128" s="125">
        <f aca="true" t="shared" si="3" ref="I128:I138">H128/G128*100</f>
        <v>86.82525883189757</v>
      </c>
    </row>
    <row r="129" spans="1:9" ht="15" customHeight="1">
      <c r="A129" s="110">
        <v>103</v>
      </c>
      <c r="B129" s="1121" t="s">
        <v>117</v>
      </c>
      <c r="C129" s="1121"/>
      <c r="D129" s="1121"/>
      <c r="E129" s="1121"/>
      <c r="F129" s="126">
        <v>160</v>
      </c>
      <c r="G129" s="126">
        <v>2766</v>
      </c>
      <c r="H129" s="126">
        <v>2612</v>
      </c>
      <c r="I129" s="125">
        <f t="shared" si="3"/>
        <v>94.43239334779466</v>
      </c>
    </row>
    <row r="130" spans="1:9" ht="15" customHeight="1">
      <c r="A130" s="110">
        <v>104</v>
      </c>
      <c r="B130" s="1131" t="s">
        <v>116</v>
      </c>
      <c r="C130" s="1132"/>
      <c r="D130" s="1132"/>
      <c r="E130" s="1133"/>
      <c r="F130" s="126">
        <v>1200</v>
      </c>
      <c r="G130" s="126">
        <v>1222</v>
      </c>
      <c r="H130" s="126">
        <v>770</v>
      </c>
      <c r="I130" s="125">
        <f t="shared" si="3"/>
        <v>63.0114566284779</v>
      </c>
    </row>
    <row r="131" spans="1:9" ht="15" customHeight="1">
      <c r="A131" s="110">
        <v>105</v>
      </c>
      <c r="B131" s="1121" t="s">
        <v>115</v>
      </c>
      <c r="C131" s="1121"/>
      <c r="D131" s="1121"/>
      <c r="E131" s="1121"/>
      <c r="F131" s="126">
        <v>22402</v>
      </c>
      <c r="G131" s="126">
        <v>20655</v>
      </c>
      <c r="H131" s="126">
        <v>22547</v>
      </c>
      <c r="I131" s="125">
        <f t="shared" si="3"/>
        <v>109.1600096828855</v>
      </c>
    </row>
    <row r="132" spans="1:9" ht="15" customHeight="1">
      <c r="A132" s="110">
        <v>106</v>
      </c>
      <c r="B132" s="1121" t="s">
        <v>114</v>
      </c>
      <c r="C132" s="1121"/>
      <c r="D132" s="1121"/>
      <c r="E132" s="1121"/>
      <c r="F132" s="126">
        <v>0</v>
      </c>
      <c r="G132" s="126">
        <v>2624</v>
      </c>
      <c r="H132" s="126">
        <v>3624</v>
      </c>
      <c r="I132" s="125">
        <f t="shared" si="3"/>
        <v>138.109756097561</v>
      </c>
    </row>
    <row r="133" spans="1:9" ht="15" customHeight="1">
      <c r="A133" s="110">
        <v>107</v>
      </c>
      <c r="B133" s="1121" t="s">
        <v>113</v>
      </c>
      <c r="C133" s="1121"/>
      <c r="D133" s="1121"/>
      <c r="E133" s="1121"/>
      <c r="F133" s="126">
        <v>790</v>
      </c>
      <c r="G133" s="126">
        <v>860</v>
      </c>
      <c r="H133" s="126">
        <v>528</v>
      </c>
      <c r="I133" s="125">
        <f t="shared" si="3"/>
        <v>61.395348837209305</v>
      </c>
    </row>
    <row r="134" spans="1:9" ht="15" customHeight="1">
      <c r="A134" s="110">
        <v>108</v>
      </c>
      <c r="B134" s="1121" t="s">
        <v>112</v>
      </c>
      <c r="C134" s="1121"/>
      <c r="D134" s="1121"/>
      <c r="E134" s="1121"/>
      <c r="F134" s="126">
        <v>1310</v>
      </c>
      <c r="G134" s="126">
        <v>1935</v>
      </c>
      <c r="H134" s="126">
        <v>1835</v>
      </c>
      <c r="I134" s="125">
        <f t="shared" si="3"/>
        <v>94.83204134366925</v>
      </c>
    </row>
    <row r="135" spans="1:9" ht="15" customHeight="1">
      <c r="A135" s="110">
        <v>109</v>
      </c>
      <c r="B135" s="1121" t="s">
        <v>111</v>
      </c>
      <c r="C135" s="1121"/>
      <c r="D135" s="1121"/>
      <c r="E135" s="1121"/>
      <c r="F135" s="126">
        <v>300</v>
      </c>
      <c r="G135" s="126">
        <v>344</v>
      </c>
      <c r="H135" s="126">
        <v>350</v>
      </c>
      <c r="I135" s="125">
        <f t="shared" si="3"/>
        <v>101.74418604651163</v>
      </c>
    </row>
    <row r="136" spans="1:9" ht="15" customHeight="1">
      <c r="A136" s="110">
        <v>110</v>
      </c>
      <c r="B136" s="1131" t="s">
        <v>110</v>
      </c>
      <c r="C136" s="1132"/>
      <c r="D136" s="1132"/>
      <c r="E136" s="1133"/>
      <c r="F136" s="126">
        <v>0</v>
      </c>
      <c r="G136" s="126">
        <v>340</v>
      </c>
      <c r="H136" s="126">
        <v>340</v>
      </c>
      <c r="I136" s="125">
        <f t="shared" si="3"/>
        <v>100</v>
      </c>
    </row>
    <row r="137" spans="1:9" ht="13.5" customHeight="1">
      <c r="A137" s="110">
        <v>111</v>
      </c>
      <c r="B137" s="1148" t="s">
        <v>109</v>
      </c>
      <c r="C137" s="1149"/>
      <c r="D137" s="1149"/>
      <c r="E137" s="1150"/>
      <c r="F137" s="126">
        <v>0</v>
      </c>
      <c r="G137" s="126">
        <v>201</v>
      </c>
      <c r="H137" s="126">
        <v>201</v>
      </c>
      <c r="I137" s="125">
        <f t="shared" si="3"/>
        <v>100</v>
      </c>
    </row>
    <row r="138" spans="1:9" ht="15" customHeight="1">
      <c r="A138" s="110">
        <v>112</v>
      </c>
      <c r="B138" s="1121" t="s">
        <v>108</v>
      </c>
      <c r="C138" s="1121"/>
      <c r="D138" s="1121"/>
      <c r="E138" s="1121"/>
      <c r="F138" s="126">
        <v>2102</v>
      </c>
      <c r="G138" s="126">
        <v>2077</v>
      </c>
      <c r="H138" s="126">
        <v>2879</v>
      </c>
      <c r="I138" s="125">
        <f t="shared" si="3"/>
        <v>138.61338468945596</v>
      </c>
    </row>
    <row r="139" spans="1:9" ht="15" customHeight="1">
      <c r="A139" s="110">
        <v>113</v>
      </c>
      <c r="B139" s="1122" t="s">
        <v>107</v>
      </c>
      <c r="C139" s="1123"/>
      <c r="D139" s="1123"/>
      <c r="E139" s="1124"/>
      <c r="F139" s="126">
        <v>0</v>
      </c>
      <c r="G139" s="126">
        <v>0</v>
      </c>
      <c r="H139" s="126">
        <v>0</v>
      </c>
      <c r="I139" s="125">
        <v>0</v>
      </c>
    </row>
    <row r="140" spans="1:9" ht="15" customHeight="1">
      <c r="A140" s="110">
        <v>114</v>
      </c>
      <c r="B140" s="1121" t="s">
        <v>106</v>
      </c>
      <c r="C140" s="1121"/>
      <c r="D140" s="1121"/>
      <c r="E140" s="1121"/>
      <c r="F140" s="126">
        <v>25500</v>
      </c>
      <c r="G140" s="126">
        <v>28334</v>
      </c>
      <c r="H140" s="126">
        <v>28334</v>
      </c>
      <c r="I140" s="125">
        <f>H140/G140*100</f>
        <v>100</v>
      </c>
    </row>
    <row r="141" spans="1:9" ht="15" customHeight="1">
      <c r="A141" s="110">
        <v>115</v>
      </c>
      <c r="B141" s="1122" t="s">
        <v>105</v>
      </c>
      <c r="C141" s="1123"/>
      <c r="D141" s="1123"/>
      <c r="E141" s="1124"/>
      <c r="F141" s="126">
        <v>0</v>
      </c>
      <c r="G141" s="126">
        <v>0</v>
      </c>
      <c r="H141" s="126">
        <v>0</v>
      </c>
      <c r="I141" s="125">
        <v>0</v>
      </c>
    </row>
    <row r="142" spans="1:9" ht="15" customHeight="1">
      <c r="A142" s="110">
        <v>116</v>
      </c>
      <c r="B142" s="1151" t="s">
        <v>104</v>
      </c>
      <c r="C142" s="1139"/>
      <c r="D142" s="1139"/>
      <c r="E142" s="1140"/>
      <c r="F142" s="123">
        <f>F143+F144+F146+F147+F148+F149+F150+F151+F152+F154+F155+F156+F158+F157+F153+F145</f>
        <v>18838</v>
      </c>
      <c r="G142" s="123">
        <f>G143+G144+G146+G147+G148+G149+G150+G151+G152+G154+G155+G156+G158+G157+G153+G145</f>
        <v>20445</v>
      </c>
      <c r="H142" s="123">
        <f>H143+H144+H146+H147+H148+H149+H150+H151+H152+H154+H155+H156+H158+H157+H153+H145</f>
        <v>19453</v>
      </c>
      <c r="I142" s="127">
        <f>H142/G142*100</f>
        <v>95.14795793592566</v>
      </c>
    </row>
    <row r="143" spans="1:9" ht="15" customHeight="1">
      <c r="A143" s="110">
        <v>117</v>
      </c>
      <c r="B143" s="1131" t="s">
        <v>103</v>
      </c>
      <c r="C143" s="1139"/>
      <c r="D143" s="1139"/>
      <c r="E143" s="1140"/>
      <c r="F143" s="126">
        <v>2500</v>
      </c>
      <c r="G143" s="126">
        <v>2000</v>
      </c>
      <c r="H143" s="126">
        <v>1248</v>
      </c>
      <c r="I143" s="125">
        <f>H143/G143*100</f>
        <v>62.4</v>
      </c>
    </row>
    <row r="144" spans="1:9" ht="15" customHeight="1">
      <c r="A144" s="110">
        <v>118</v>
      </c>
      <c r="B144" s="1131" t="s">
        <v>102</v>
      </c>
      <c r="C144" s="1132"/>
      <c r="D144" s="1132"/>
      <c r="E144" s="1133"/>
      <c r="F144" s="126">
        <v>0</v>
      </c>
      <c r="G144" s="126">
        <v>500</v>
      </c>
      <c r="H144" s="126">
        <v>274</v>
      </c>
      <c r="I144" s="125">
        <f>H144/G144*100</f>
        <v>54.800000000000004</v>
      </c>
    </row>
    <row r="145" spans="1:9" ht="15" customHeight="1">
      <c r="A145" s="110">
        <v>119</v>
      </c>
      <c r="B145" s="1131" t="s">
        <v>101</v>
      </c>
      <c r="C145" s="1132"/>
      <c r="D145" s="1132"/>
      <c r="E145" s="1133"/>
      <c r="F145" s="126">
        <v>0</v>
      </c>
      <c r="G145" s="126">
        <v>0</v>
      </c>
      <c r="H145" s="126">
        <v>1175</v>
      </c>
      <c r="I145" s="125">
        <v>0</v>
      </c>
    </row>
    <row r="146" spans="1:9" ht="15" customHeight="1">
      <c r="A146" s="110">
        <v>120</v>
      </c>
      <c r="B146" s="1131" t="s">
        <v>100</v>
      </c>
      <c r="C146" s="1132"/>
      <c r="D146" s="1132"/>
      <c r="E146" s="1133"/>
      <c r="F146" s="126">
        <v>250</v>
      </c>
      <c r="G146" s="126">
        <v>250</v>
      </c>
      <c r="H146" s="126">
        <v>231</v>
      </c>
      <c r="I146" s="125">
        <f aca="true" t="shared" si="4" ref="I146:I156">H146/G146*100</f>
        <v>92.4</v>
      </c>
    </row>
    <row r="147" spans="1:9" ht="15" customHeight="1">
      <c r="A147" s="110">
        <v>121</v>
      </c>
      <c r="B147" s="1131" t="s">
        <v>99</v>
      </c>
      <c r="C147" s="1132"/>
      <c r="D147" s="1132"/>
      <c r="E147" s="1133"/>
      <c r="F147" s="126">
        <v>0</v>
      </c>
      <c r="G147" s="126">
        <v>1607</v>
      </c>
      <c r="H147" s="126">
        <v>1607</v>
      </c>
      <c r="I147" s="125">
        <f t="shared" si="4"/>
        <v>100</v>
      </c>
    </row>
    <row r="148" spans="1:9" ht="15" customHeight="1">
      <c r="A148" s="110">
        <v>122</v>
      </c>
      <c r="B148" s="1131" t="s">
        <v>98</v>
      </c>
      <c r="C148" s="1132"/>
      <c r="D148" s="1132"/>
      <c r="E148" s="1133"/>
      <c r="F148" s="126">
        <v>600</v>
      </c>
      <c r="G148" s="126">
        <v>600</v>
      </c>
      <c r="H148" s="126">
        <v>571</v>
      </c>
      <c r="I148" s="125">
        <f t="shared" si="4"/>
        <v>95.16666666666667</v>
      </c>
    </row>
    <row r="149" spans="1:9" ht="15" customHeight="1">
      <c r="A149" s="110">
        <v>123</v>
      </c>
      <c r="B149" s="1131" t="s">
        <v>97</v>
      </c>
      <c r="C149" s="1132"/>
      <c r="D149" s="1132"/>
      <c r="E149" s="1133"/>
      <c r="F149" s="126">
        <v>9405</v>
      </c>
      <c r="G149" s="126">
        <v>9405</v>
      </c>
      <c r="H149" s="126">
        <v>8802</v>
      </c>
      <c r="I149" s="125">
        <f t="shared" si="4"/>
        <v>93.58851674641149</v>
      </c>
    </row>
    <row r="150" spans="1:9" ht="15" customHeight="1">
      <c r="A150" s="110">
        <v>124</v>
      </c>
      <c r="B150" s="1131" t="s">
        <v>96</v>
      </c>
      <c r="C150" s="1132"/>
      <c r="D150" s="1132"/>
      <c r="E150" s="1133"/>
      <c r="F150" s="126">
        <v>3283</v>
      </c>
      <c r="G150" s="126">
        <v>3283</v>
      </c>
      <c r="H150" s="126">
        <v>3004</v>
      </c>
      <c r="I150" s="125">
        <f t="shared" si="4"/>
        <v>91.50167529698446</v>
      </c>
    </row>
    <row r="151" spans="1:9" ht="15" customHeight="1">
      <c r="A151" s="110">
        <v>125</v>
      </c>
      <c r="B151" s="1131" t="s">
        <v>95</v>
      </c>
      <c r="C151" s="1132"/>
      <c r="D151" s="1132"/>
      <c r="E151" s="1133"/>
      <c r="F151" s="126">
        <v>250</v>
      </c>
      <c r="G151" s="126">
        <v>250</v>
      </c>
      <c r="H151" s="126">
        <v>222</v>
      </c>
      <c r="I151" s="125">
        <f t="shared" si="4"/>
        <v>88.8</v>
      </c>
    </row>
    <row r="152" spans="1:9" ht="15" customHeight="1">
      <c r="A152" s="110">
        <v>126</v>
      </c>
      <c r="B152" s="1131" t="s">
        <v>94</v>
      </c>
      <c r="C152" s="1132"/>
      <c r="D152" s="1132"/>
      <c r="E152" s="1133"/>
      <c r="F152" s="126">
        <v>600</v>
      </c>
      <c r="G152" s="126">
        <v>600</v>
      </c>
      <c r="H152" s="126">
        <v>905</v>
      </c>
      <c r="I152" s="125">
        <f t="shared" si="4"/>
        <v>150.83333333333334</v>
      </c>
    </row>
    <row r="153" spans="1:9" ht="15" customHeight="1">
      <c r="A153" s="110">
        <v>127</v>
      </c>
      <c r="B153" s="1131" t="s">
        <v>93</v>
      </c>
      <c r="C153" s="1132"/>
      <c r="D153" s="1132"/>
      <c r="E153" s="1133"/>
      <c r="F153" s="126">
        <v>0</v>
      </c>
      <c r="G153" s="126">
        <v>300</v>
      </c>
      <c r="H153" s="126">
        <v>324</v>
      </c>
      <c r="I153" s="125">
        <f t="shared" si="4"/>
        <v>108</v>
      </c>
    </row>
    <row r="154" spans="1:9" ht="15" customHeight="1">
      <c r="A154" s="110">
        <v>128</v>
      </c>
      <c r="B154" s="1131" t="s">
        <v>92</v>
      </c>
      <c r="C154" s="1132"/>
      <c r="D154" s="1132"/>
      <c r="E154" s="1133"/>
      <c r="F154" s="126">
        <v>400</v>
      </c>
      <c r="G154" s="126">
        <v>400</v>
      </c>
      <c r="H154" s="126">
        <v>148</v>
      </c>
      <c r="I154" s="125">
        <f t="shared" si="4"/>
        <v>37</v>
      </c>
    </row>
    <row r="155" spans="1:9" ht="15" customHeight="1">
      <c r="A155" s="110">
        <v>129</v>
      </c>
      <c r="B155" s="1131" t="s">
        <v>91</v>
      </c>
      <c r="C155" s="1132"/>
      <c r="D155" s="1132"/>
      <c r="E155" s="1133"/>
      <c r="F155" s="126">
        <v>350</v>
      </c>
      <c r="G155" s="126">
        <v>350</v>
      </c>
      <c r="H155" s="126">
        <v>401</v>
      </c>
      <c r="I155" s="125">
        <f t="shared" si="4"/>
        <v>114.57142857142857</v>
      </c>
    </row>
    <row r="156" spans="1:9" ht="15" customHeight="1">
      <c r="A156" s="110">
        <v>130</v>
      </c>
      <c r="B156" s="1131" t="s">
        <v>90</v>
      </c>
      <c r="C156" s="1132"/>
      <c r="D156" s="1132"/>
      <c r="E156" s="1133"/>
      <c r="F156" s="126">
        <v>900</v>
      </c>
      <c r="G156" s="126">
        <v>900</v>
      </c>
      <c r="H156" s="126">
        <v>541</v>
      </c>
      <c r="I156" s="125">
        <f t="shared" si="4"/>
        <v>60.111111111111114</v>
      </c>
    </row>
    <row r="157" spans="1:9" ht="15" customHeight="1">
      <c r="A157" s="110">
        <v>131</v>
      </c>
      <c r="B157" s="1131" t="s">
        <v>89</v>
      </c>
      <c r="C157" s="1132"/>
      <c r="D157" s="1132"/>
      <c r="E157" s="1133"/>
      <c r="F157" s="126">
        <v>300</v>
      </c>
      <c r="G157" s="126">
        <v>0</v>
      </c>
      <c r="H157" s="126">
        <v>0</v>
      </c>
      <c r="I157" s="125">
        <v>0</v>
      </c>
    </row>
    <row r="158" spans="1:9" ht="15" customHeight="1">
      <c r="A158" s="110">
        <v>132</v>
      </c>
      <c r="B158" s="1131" t="s">
        <v>88</v>
      </c>
      <c r="C158" s="1132"/>
      <c r="D158" s="1132"/>
      <c r="E158" s="1133"/>
      <c r="F158" s="126">
        <v>0</v>
      </c>
      <c r="G158" s="126">
        <v>0</v>
      </c>
      <c r="H158" s="126"/>
      <c r="I158" s="125">
        <v>0</v>
      </c>
    </row>
    <row r="159" spans="1:9" ht="14.25" customHeight="1">
      <c r="A159" s="110">
        <v>133</v>
      </c>
      <c r="B159" s="1128" t="s">
        <v>87</v>
      </c>
      <c r="C159" s="1129"/>
      <c r="D159" s="1129"/>
      <c r="E159" s="1130"/>
      <c r="F159" s="128">
        <f>F160+F161+F162+F163+F164+F165+F166+F167+F168+F169+F170</f>
        <v>18261</v>
      </c>
      <c r="G159" s="128">
        <f>G160+G161+G162+G163+G164+G165+G166+G167+G168+G169+G170</f>
        <v>18158</v>
      </c>
      <c r="H159" s="128">
        <f>H160+H161+H162+H163+H164+H165+H166+H167+H168+H169+H170</f>
        <v>17406</v>
      </c>
      <c r="I159" s="127">
        <f>H159/G159*100</f>
        <v>95.85857473290011</v>
      </c>
    </row>
    <row r="160" spans="1:9" ht="12" customHeight="1">
      <c r="A160" s="110">
        <v>134</v>
      </c>
      <c r="B160" s="1121" t="s">
        <v>86</v>
      </c>
      <c r="C160" s="1121"/>
      <c r="D160" s="1121"/>
      <c r="E160" s="1121"/>
      <c r="F160" s="126">
        <v>0</v>
      </c>
      <c r="G160" s="126">
        <v>100</v>
      </c>
      <c r="H160" s="126">
        <v>100</v>
      </c>
      <c r="I160" s="125">
        <v>0</v>
      </c>
    </row>
    <row r="161" spans="1:9" ht="12" customHeight="1">
      <c r="A161" s="110">
        <v>135</v>
      </c>
      <c r="B161" s="1121" t="s">
        <v>85</v>
      </c>
      <c r="C161" s="1121"/>
      <c r="D161" s="1121"/>
      <c r="E161" s="1121"/>
      <c r="F161" s="126">
        <v>1000</v>
      </c>
      <c r="G161" s="126">
        <v>1000</v>
      </c>
      <c r="H161" s="126">
        <v>1000</v>
      </c>
      <c r="I161" s="125">
        <f aca="true" t="shared" si="5" ref="I161:I170">H161/G161*100</f>
        <v>100</v>
      </c>
    </row>
    <row r="162" spans="1:9" ht="12.75" customHeight="1">
      <c r="A162" s="110">
        <v>136</v>
      </c>
      <c r="B162" s="1121" t="s">
        <v>84</v>
      </c>
      <c r="C162" s="1121"/>
      <c r="D162" s="1121"/>
      <c r="E162" s="1121"/>
      <c r="F162" s="126">
        <v>4250</v>
      </c>
      <c r="G162" s="126">
        <f>4250-650</f>
        <v>3600</v>
      </c>
      <c r="H162" s="126">
        <v>3600</v>
      </c>
      <c r="I162" s="125">
        <f t="shared" si="5"/>
        <v>100</v>
      </c>
    </row>
    <row r="163" spans="1:9" ht="13.5" customHeight="1">
      <c r="A163" s="110">
        <v>137</v>
      </c>
      <c r="B163" s="1121" t="s">
        <v>83</v>
      </c>
      <c r="C163" s="1121"/>
      <c r="D163" s="1121"/>
      <c r="E163" s="1121"/>
      <c r="F163" s="126">
        <v>300</v>
      </c>
      <c r="G163" s="126">
        <v>300</v>
      </c>
      <c r="H163" s="126">
        <v>300</v>
      </c>
      <c r="I163" s="125">
        <f t="shared" si="5"/>
        <v>100</v>
      </c>
    </row>
    <row r="164" spans="1:9" ht="13.5" customHeight="1">
      <c r="A164" s="110">
        <v>138</v>
      </c>
      <c r="B164" s="1121" t="s">
        <v>82</v>
      </c>
      <c r="C164" s="1121"/>
      <c r="D164" s="1121"/>
      <c r="E164" s="1121"/>
      <c r="F164" s="126">
        <v>4429</v>
      </c>
      <c r="G164" s="126">
        <f>133+3695</f>
        <v>3828</v>
      </c>
      <c r="H164" s="126">
        <v>3812</v>
      </c>
      <c r="I164" s="125">
        <f t="shared" si="5"/>
        <v>99.58202716823406</v>
      </c>
    </row>
    <row r="165" spans="1:9" ht="14.25" customHeight="1">
      <c r="A165" s="110">
        <v>139</v>
      </c>
      <c r="B165" s="1121" t="s">
        <v>81</v>
      </c>
      <c r="C165" s="1121"/>
      <c r="D165" s="1121"/>
      <c r="E165" s="1121"/>
      <c r="F165" s="126">
        <v>600</v>
      </c>
      <c r="G165" s="126">
        <v>600</v>
      </c>
      <c r="H165" s="126">
        <v>592</v>
      </c>
      <c r="I165" s="125">
        <f t="shared" si="5"/>
        <v>98.66666666666667</v>
      </c>
    </row>
    <row r="166" spans="1:9" ht="15" customHeight="1">
      <c r="A166" s="110">
        <v>140</v>
      </c>
      <c r="B166" s="1122" t="s">
        <v>80</v>
      </c>
      <c r="C166" s="1123"/>
      <c r="D166" s="1123"/>
      <c r="E166" s="1124"/>
      <c r="F166" s="126">
        <v>200</v>
      </c>
      <c r="G166" s="126">
        <f>200+200+43+85-200</f>
        <v>328</v>
      </c>
      <c r="H166" s="126">
        <v>328</v>
      </c>
      <c r="I166" s="125">
        <f t="shared" si="5"/>
        <v>100</v>
      </c>
    </row>
    <row r="167" spans="1:9" ht="15" customHeight="1">
      <c r="A167" s="110">
        <v>141</v>
      </c>
      <c r="B167" s="1121" t="s">
        <v>79</v>
      </c>
      <c r="C167" s="1121"/>
      <c r="D167" s="1121"/>
      <c r="E167" s="1121"/>
      <c r="F167" s="126">
        <v>4500</v>
      </c>
      <c r="G167" s="126">
        <f>4500+1000-142-100</f>
        <v>5258</v>
      </c>
      <c r="H167" s="126">
        <v>5258</v>
      </c>
      <c r="I167" s="125">
        <f t="shared" si="5"/>
        <v>100</v>
      </c>
    </row>
    <row r="168" spans="1:9" ht="15" customHeight="1">
      <c r="A168" s="110">
        <v>142</v>
      </c>
      <c r="B168" s="1131" t="s">
        <v>78</v>
      </c>
      <c r="C168" s="1132"/>
      <c r="D168" s="1132"/>
      <c r="E168" s="1133"/>
      <c r="F168" s="126">
        <v>500</v>
      </c>
      <c r="G168" s="126">
        <v>500</v>
      </c>
      <c r="H168" s="126">
        <v>99</v>
      </c>
      <c r="I168" s="125">
        <f t="shared" si="5"/>
        <v>19.8</v>
      </c>
    </row>
    <row r="169" spans="1:9" ht="15" customHeight="1">
      <c r="A169" s="110">
        <v>143</v>
      </c>
      <c r="B169" s="1121" t="s">
        <v>77</v>
      </c>
      <c r="C169" s="1121"/>
      <c r="D169" s="1121"/>
      <c r="E169" s="1121"/>
      <c r="F169" s="126">
        <v>910</v>
      </c>
      <c r="G169" s="126">
        <v>910</v>
      </c>
      <c r="H169" s="126">
        <v>870</v>
      </c>
      <c r="I169" s="125">
        <f t="shared" si="5"/>
        <v>95.6043956043956</v>
      </c>
    </row>
    <row r="170" spans="1:9" ht="15" customHeight="1">
      <c r="A170" s="110">
        <v>144</v>
      </c>
      <c r="B170" s="1121" t="s">
        <v>76</v>
      </c>
      <c r="C170" s="1121"/>
      <c r="D170" s="1121"/>
      <c r="E170" s="1121"/>
      <c r="F170" s="126">
        <v>1572</v>
      </c>
      <c r="G170" s="126">
        <f>1572+162</f>
        <v>1734</v>
      </c>
      <c r="H170" s="126">
        <v>1447</v>
      </c>
      <c r="I170" s="125">
        <f t="shared" si="5"/>
        <v>83.44867358708188</v>
      </c>
    </row>
    <row r="171" spans="1:9" ht="14.25" customHeight="1">
      <c r="A171" s="110">
        <v>145</v>
      </c>
      <c r="B171" s="1147" t="s">
        <v>75</v>
      </c>
      <c r="C171" s="1079"/>
      <c r="D171" s="1079"/>
      <c r="E171" s="1080"/>
      <c r="F171" s="124">
        <v>0</v>
      </c>
      <c r="G171" s="124">
        <v>0</v>
      </c>
      <c r="H171" s="124">
        <v>0</v>
      </c>
      <c r="I171" s="120">
        <v>0</v>
      </c>
    </row>
    <row r="172" spans="1:9" ht="13.5" customHeight="1">
      <c r="A172" s="110">
        <v>146</v>
      </c>
      <c r="B172" s="1144" t="s">
        <v>74</v>
      </c>
      <c r="C172" s="1145"/>
      <c r="D172" s="1145"/>
      <c r="E172" s="1146"/>
      <c r="F172" s="123">
        <v>14235</v>
      </c>
      <c r="G172" s="123">
        <v>14335</v>
      </c>
      <c r="H172" s="123">
        <v>11026</v>
      </c>
      <c r="I172" s="120">
        <f>H172/G172*100</f>
        <v>76.91663760027903</v>
      </c>
    </row>
    <row r="173" spans="1:9" ht="15" customHeight="1">
      <c r="A173" s="110">
        <v>147</v>
      </c>
      <c r="B173" s="1106" t="s">
        <v>73</v>
      </c>
      <c r="C173" s="1106"/>
      <c r="D173" s="1106"/>
      <c r="E173" s="1106"/>
      <c r="F173" s="122">
        <v>0</v>
      </c>
      <c r="G173" s="122">
        <v>0</v>
      </c>
      <c r="H173" s="122">
        <v>0</v>
      </c>
      <c r="I173" s="120">
        <v>0</v>
      </c>
    </row>
    <row r="174" spans="1:9" ht="15" customHeight="1">
      <c r="A174" s="110">
        <v>148</v>
      </c>
      <c r="B174" s="1106" t="s">
        <v>72</v>
      </c>
      <c r="C174" s="1106"/>
      <c r="D174" s="1106"/>
      <c r="E174" s="1106"/>
      <c r="F174" s="121">
        <f>SUM(F175:F176)</f>
        <v>0</v>
      </c>
      <c r="G174" s="121">
        <v>0</v>
      </c>
      <c r="H174" s="121">
        <v>0</v>
      </c>
      <c r="I174" s="120">
        <v>0</v>
      </c>
    </row>
    <row r="175" spans="1:9" ht="15" customHeight="1">
      <c r="A175" s="110">
        <v>149</v>
      </c>
      <c r="B175" s="1051" t="s">
        <v>71</v>
      </c>
      <c r="C175" s="1051"/>
      <c r="D175" s="1051"/>
      <c r="E175" s="1051"/>
      <c r="F175" s="119">
        <v>0</v>
      </c>
      <c r="G175" s="119">
        <v>0</v>
      </c>
      <c r="H175" s="119">
        <v>0</v>
      </c>
      <c r="I175" s="118">
        <v>0</v>
      </c>
    </row>
    <row r="176" spans="1:9" ht="15" customHeight="1">
      <c r="A176" s="110">
        <v>150</v>
      </c>
      <c r="B176" s="1051" t="s">
        <v>70</v>
      </c>
      <c r="C176" s="1051"/>
      <c r="D176" s="1051"/>
      <c r="E176" s="1051"/>
      <c r="F176" s="119">
        <v>0</v>
      </c>
      <c r="G176" s="119">
        <v>0</v>
      </c>
      <c r="H176" s="119">
        <v>-1171</v>
      </c>
      <c r="I176" s="118">
        <v>0</v>
      </c>
    </row>
    <row r="177" spans="1:9" ht="12.75" customHeight="1">
      <c r="A177" s="110">
        <v>151</v>
      </c>
      <c r="B177" s="1147" t="s">
        <v>69</v>
      </c>
      <c r="C177" s="1079"/>
      <c r="D177" s="1079"/>
      <c r="E177" s="1080"/>
      <c r="F177" s="116">
        <v>0</v>
      </c>
      <c r="G177" s="116">
        <v>75153</v>
      </c>
      <c r="H177" s="116">
        <v>0</v>
      </c>
      <c r="I177" s="115">
        <v>0</v>
      </c>
    </row>
    <row r="178" spans="1:9" ht="12.75" customHeight="1" thickBot="1">
      <c r="A178" s="110">
        <v>152</v>
      </c>
      <c r="B178" s="1169" t="s">
        <v>68</v>
      </c>
      <c r="C178" s="1169"/>
      <c r="D178" s="1169"/>
      <c r="E178" s="1169"/>
      <c r="F178" s="114">
        <f>F68+F94+F100+F142+F159+F171+F172+F173+F174+F177</f>
        <v>507480</v>
      </c>
      <c r="G178" s="114">
        <f>G68+G94+G100+G142+G159+G171+G172+G173+G174+G177</f>
        <v>610122</v>
      </c>
      <c r="H178" s="114">
        <f>H68+H94+H100+H142+H159+H172+H173+H174+H175+H176+H177</f>
        <v>499632</v>
      </c>
      <c r="I178" s="113">
        <f>H178/G178*100</f>
        <v>81.89050714447275</v>
      </c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spans="2:11" s="26" customFormat="1" ht="15" customHeight="1">
      <c r="B186"/>
      <c r="C186"/>
      <c r="D186"/>
      <c r="E186"/>
      <c r="F186"/>
      <c r="G186"/>
      <c r="H186"/>
      <c r="I186"/>
      <c r="J186"/>
      <c r="K186"/>
    </row>
    <row r="187" ht="15" customHeight="1"/>
    <row r="188" ht="15" customHeight="1">
      <c r="K188" s="26"/>
    </row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2.75">
      <c r="B211" s="112"/>
    </row>
    <row r="215" spans="2:11" s="26" customFormat="1" ht="12.75">
      <c r="B215"/>
      <c r="C215"/>
      <c r="D215"/>
      <c r="E215"/>
      <c r="F215"/>
      <c r="G215"/>
      <c r="H215"/>
      <c r="I215"/>
      <c r="J215"/>
      <c r="K215"/>
    </row>
    <row r="216" spans="2:11" s="26" customFormat="1" ht="12.75">
      <c r="B216"/>
      <c r="C216"/>
      <c r="D216"/>
      <c r="E216"/>
      <c r="F216"/>
      <c r="G216"/>
      <c r="H216"/>
      <c r="I216"/>
      <c r="J216"/>
      <c r="K216"/>
    </row>
    <row r="217" spans="2:10" s="26" customFormat="1" ht="12.75">
      <c r="B217"/>
      <c r="C217"/>
      <c r="D217"/>
      <c r="E217"/>
      <c r="F217"/>
      <c r="G217"/>
      <c r="H217"/>
      <c r="I217"/>
      <c r="J217"/>
    </row>
    <row r="218" spans="2:10" s="26" customFormat="1" ht="12.75">
      <c r="B218"/>
      <c r="C218"/>
      <c r="D218"/>
      <c r="E218"/>
      <c r="F218"/>
      <c r="G218"/>
      <c r="H218"/>
      <c r="I218"/>
      <c r="J218"/>
    </row>
    <row r="219" ht="12.75">
      <c r="K219" s="111"/>
    </row>
    <row r="220" ht="12.75">
      <c r="K220" s="26"/>
    </row>
  </sheetData>
  <sheetProtection/>
  <mergeCells count="170">
    <mergeCell ref="B124:H124"/>
    <mergeCell ref="B80:E80"/>
    <mergeCell ref="B77:E77"/>
    <mergeCell ref="B97:E97"/>
    <mergeCell ref="B107:E107"/>
    <mergeCell ref="B104:E104"/>
    <mergeCell ref="B83:E83"/>
    <mergeCell ref="B99:E99"/>
    <mergeCell ref="B101:E101"/>
    <mergeCell ref="B92:E92"/>
    <mergeCell ref="A6:A8"/>
    <mergeCell ref="B43:E43"/>
    <mergeCell ref="B74:E74"/>
    <mergeCell ref="B75:E75"/>
    <mergeCell ref="B48:E48"/>
    <mergeCell ref="B70:E70"/>
    <mergeCell ref="B6:E6"/>
    <mergeCell ref="B40:E40"/>
    <mergeCell ref="C61:H61"/>
    <mergeCell ref="C62:H62"/>
    <mergeCell ref="B178:E178"/>
    <mergeCell ref="B173:E173"/>
    <mergeCell ref="B174:E174"/>
    <mergeCell ref="B91:E91"/>
    <mergeCell ref="B149:E149"/>
    <mergeCell ref="B145:E145"/>
    <mergeCell ref="B153:E153"/>
    <mergeCell ref="B136:E136"/>
    <mergeCell ref="B123:H123"/>
    <mergeCell ref="B177:E177"/>
    <mergeCell ref="B111:E111"/>
    <mergeCell ref="B98:E98"/>
    <mergeCell ref="B93:E93"/>
    <mergeCell ref="B96:E96"/>
    <mergeCell ref="B95:E95"/>
    <mergeCell ref="B110:E110"/>
    <mergeCell ref="B11:E11"/>
    <mergeCell ref="B13:E13"/>
    <mergeCell ref="B14:E14"/>
    <mergeCell ref="B15:E15"/>
    <mergeCell ref="B12:E12"/>
    <mergeCell ref="B19:E19"/>
    <mergeCell ref="B16:E16"/>
    <mergeCell ref="B17:E17"/>
    <mergeCell ref="B38:E38"/>
    <mergeCell ref="B37:E37"/>
    <mergeCell ref="B100:E100"/>
    <mergeCell ref="B39:E39"/>
    <mergeCell ref="B25:E25"/>
    <mergeCell ref="B28:E28"/>
    <mergeCell ref="B52:E52"/>
    <mergeCell ref="B34:E34"/>
    <mergeCell ref="B27:E27"/>
    <mergeCell ref="B53:E53"/>
    <mergeCell ref="B32:E32"/>
    <mergeCell ref="B36:E36"/>
    <mergeCell ref="B30:E30"/>
    <mergeCell ref="B73:E73"/>
    <mergeCell ref="B54:E54"/>
    <mergeCell ref="B69:E69"/>
    <mergeCell ref="B51:E51"/>
    <mergeCell ref="B33:E33"/>
    <mergeCell ref="B35:E35"/>
    <mergeCell ref="B72:E72"/>
    <mergeCell ref="B23:E23"/>
    <mergeCell ref="B20:E20"/>
    <mergeCell ref="B18:E18"/>
    <mergeCell ref="B29:E29"/>
    <mergeCell ref="B22:E22"/>
    <mergeCell ref="B26:E26"/>
    <mergeCell ref="B24:E24"/>
    <mergeCell ref="B21:E21"/>
    <mergeCell ref="F66:G66"/>
    <mergeCell ref="H65:I65"/>
    <mergeCell ref="B64:E64"/>
    <mergeCell ref="B3:J3"/>
    <mergeCell ref="B9:E9"/>
    <mergeCell ref="B10:E10"/>
    <mergeCell ref="B46:E46"/>
    <mergeCell ref="B47:E47"/>
    <mergeCell ref="B7:E8"/>
    <mergeCell ref="F8:G8"/>
    <mergeCell ref="B2:J2"/>
    <mergeCell ref="H7:I7"/>
    <mergeCell ref="B78:E78"/>
    <mergeCell ref="B31:E31"/>
    <mergeCell ref="B42:E42"/>
    <mergeCell ref="B49:E49"/>
    <mergeCell ref="B44:E44"/>
    <mergeCell ref="B41:E41"/>
    <mergeCell ref="B50:E50"/>
    <mergeCell ref="B68:E68"/>
    <mergeCell ref="B45:E45"/>
    <mergeCell ref="B79:E79"/>
    <mergeCell ref="B82:E82"/>
    <mergeCell ref="B65:E66"/>
    <mergeCell ref="B67:E67"/>
    <mergeCell ref="B76:E76"/>
    <mergeCell ref="B88:E88"/>
    <mergeCell ref="B90:E90"/>
    <mergeCell ref="B87:E87"/>
    <mergeCell ref="B85:E85"/>
    <mergeCell ref="B86:E86"/>
    <mergeCell ref="B71:E71"/>
    <mergeCell ref="B135:E135"/>
    <mergeCell ref="B84:E84"/>
    <mergeCell ref="B81:E81"/>
    <mergeCell ref="B102:E102"/>
    <mergeCell ref="B109:E109"/>
    <mergeCell ref="B108:E108"/>
    <mergeCell ref="B105:E105"/>
    <mergeCell ref="B106:E106"/>
    <mergeCell ref="B103:E103"/>
    <mergeCell ref="B89:E89"/>
    <mergeCell ref="B150:E150"/>
    <mergeCell ref="B112:E112"/>
    <mergeCell ref="B116:E116"/>
    <mergeCell ref="B119:E119"/>
    <mergeCell ref="B137:E137"/>
    <mergeCell ref="B142:E142"/>
    <mergeCell ref="B113:E113"/>
    <mergeCell ref="B114:E114"/>
    <mergeCell ref="B139:E139"/>
    <mergeCell ref="B117:E117"/>
    <mergeCell ref="B164:E164"/>
    <mergeCell ref="B161:E161"/>
    <mergeCell ref="B160:E160"/>
    <mergeCell ref="B118:E118"/>
    <mergeCell ref="B148:E148"/>
    <mergeCell ref="B146:E146"/>
    <mergeCell ref="B157:E157"/>
    <mergeCell ref="B131:E131"/>
    <mergeCell ref="B154:E154"/>
    <mergeCell ref="B132:E132"/>
    <mergeCell ref="B165:E165"/>
    <mergeCell ref="B175:E175"/>
    <mergeCell ref="B169:E169"/>
    <mergeCell ref="B172:E172"/>
    <mergeCell ref="B171:E171"/>
    <mergeCell ref="B168:E168"/>
    <mergeCell ref="B163:E163"/>
    <mergeCell ref="B162:E162"/>
    <mergeCell ref="H126:I126"/>
    <mergeCell ref="F127:G127"/>
    <mergeCell ref="B138:E138"/>
    <mergeCell ref="B134:E134"/>
    <mergeCell ref="B130:E130"/>
    <mergeCell ref="B158:E158"/>
    <mergeCell ref="B151:E151"/>
    <mergeCell ref="B152:E152"/>
    <mergeCell ref="B120:E120"/>
    <mergeCell ref="B126:E127"/>
    <mergeCell ref="B115:E115"/>
    <mergeCell ref="B121:E121"/>
    <mergeCell ref="B144:E144"/>
    <mergeCell ref="B141:E141"/>
    <mergeCell ref="B140:E140"/>
    <mergeCell ref="B143:E143"/>
    <mergeCell ref="B133:E133"/>
    <mergeCell ref="B129:E129"/>
    <mergeCell ref="B176:E176"/>
    <mergeCell ref="B170:E170"/>
    <mergeCell ref="B167:E167"/>
    <mergeCell ref="B166:E166"/>
    <mergeCell ref="B125:E125"/>
    <mergeCell ref="B159:E159"/>
    <mergeCell ref="B155:E155"/>
    <mergeCell ref="B147:E147"/>
    <mergeCell ref="B156:E156"/>
    <mergeCell ref="B128:E1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27" customWidth="1"/>
  </cols>
  <sheetData>
    <row r="3" ht="15">
      <c r="C3" s="727" t="s">
        <v>889</v>
      </c>
    </row>
    <row r="5" ht="15">
      <c r="E5" s="727" t="s">
        <v>940</v>
      </c>
    </row>
    <row r="7" ht="15">
      <c r="C7" s="727" t="s">
        <v>939</v>
      </c>
    </row>
    <row r="10" spans="1:9" ht="15">
      <c r="A10" s="727" t="s">
        <v>924</v>
      </c>
      <c r="I10" s="727">
        <v>1</v>
      </c>
    </row>
    <row r="11" ht="15">
      <c r="A11" s="727" t="s">
        <v>938</v>
      </c>
    </row>
    <row r="12" spans="1:9" ht="15">
      <c r="A12" s="727" t="s">
        <v>923</v>
      </c>
      <c r="I12" s="727">
        <v>19183</v>
      </c>
    </row>
    <row r="13" spans="1:9" ht="15">
      <c r="A13" s="727" t="s">
        <v>922</v>
      </c>
      <c r="I13" s="727">
        <v>18648</v>
      </c>
    </row>
    <row r="14" spans="2:9" ht="15">
      <c r="B14" s="727" t="s">
        <v>929</v>
      </c>
      <c r="I14" s="727">
        <f>I12-I13</f>
        <v>535</v>
      </c>
    </row>
    <row r="15" ht="15">
      <c r="A15" s="727" t="s">
        <v>928</v>
      </c>
    </row>
    <row r="16" spans="1:9" ht="15">
      <c r="A16" s="727" t="s">
        <v>935</v>
      </c>
      <c r="I16" s="727">
        <v>0</v>
      </c>
    </row>
    <row r="19" spans="1:9" ht="15">
      <c r="A19" s="727" t="s">
        <v>934</v>
      </c>
      <c r="I19" s="727">
        <v>0</v>
      </c>
    </row>
    <row r="22" ht="15">
      <c r="A22" s="727" t="s">
        <v>933</v>
      </c>
    </row>
    <row r="23" spans="1:9" ht="15">
      <c r="A23" s="727" t="s">
        <v>932</v>
      </c>
      <c r="I23" s="727">
        <v>0</v>
      </c>
    </row>
    <row r="26" spans="1:9" ht="15">
      <c r="A26" s="727" t="s">
        <v>931</v>
      </c>
      <c r="I26" s="727">
        <v>0</v>
      </c>
    </row>
    <row r="29" spans="1:9" ht="15">
      <c r="A29" s="727" t="s">
        <v>930</v>
      </c>
      <c r="I29" s="727">
        <v>0</v>
      </c>
    </row>
    <row r="32" spans="1:9" ht="15">
      <c r="A32" s="727" t="s">
        <v>927</v>
      </c>
      <c r="I32" s="727">
        <v>0</v>
      </c>
    </row>
    <row r="35" spans="1:9" ht="15">
      <c r="A35" s="727" t="s">
        <v>926</v>
      </c>
      <c r="I35" s="727">
        <v>0</v>
      </c>
    </row>
    <row r="38" spans="1:9" ht="15">
      <c r="A38" s="727" t="s">
        <v>937</v>
      </c>
      <c r="I38" s="727">
        <f>I14-I16-I19-I23-I26-I29-I32-I35</f>
        <v>535</v>
      </c>
    </row>
    <row r="40" ht="15">
      <c r="A40" s="727" t="s">
        <v>925</v>
      </c>
    </row>
    <row r="41" spans="1:9" ht="15">
      <c r="A41" s="727" t="s">
        <v>936</v>
      </c>
      <c r="I41" s="727">
        <f>I38/100*40</f>
        <v>214</v>
      </c>
    </row>
    <row r="43" ht="15">
      <c r="I43" s="727">
        <f>I38/100*60</f>
        <v>321</v>
      </c>
    </row>
    <row r="58" spans="1:9" ht="15">
      <c r="A58" s="727" t="s">
        <v>924</v>
      </c>
      <c r="I58" s="727">
        <v>2</v>
      </c>
    </row>
    <row r="60" spans="1:9" ht="15">
      <c r="A60" s="727" t="s">
        <v>923</v>
      </c>
      <c r="I60" s="727">
        <v>5799</v>
      </c>
    </row>
    <row r="61" spans="1:9" ht="15">
      <c r="A61" s="727" t="s">
        <v>922</v>
      </c>
      <c r="I61" s="727">
        <v>5673</v>
      </c>
    </row>
    <row r="62" spans="2:9" ht="15">
      <c r="B62" s="727" t="s">
        <v>929</v>
      </c>
      <c r="I62" s="727">
        <f>I60-I61</f>
        <v>126</v>
      </c>
    </row>
    <row r="63" ht="15">
      <c r="A63" s="727" t="s">
        <v>928</v>
      </c>
    </row>
    <row r="64" spans="1:9" ht="15">
      <c r="A64" s="727" t="s">
        <v>935</v>
      </c>
      <c r="I64" s="727">
        <v>0</v>
      </c>
    </row>
    <row r="67" spans="1:9" ht="15">
      <c r="A67" s="727" t="s">
        <v>934</v>
      </c>
      <c r="I67" s="727">
        <v>0</v>
      </c>
    </row>
    <row r="70" ht="15">
      <c r="A70" s="727" t="s">
        <v>933</v>
      </c>
    </row>
    <row r="71" spans="1:9" ht="15">
      <c r="A71" s="727" t="s">
        <v>932</v>
      </c>
      <c r="I71" s="727">
        <v>0</v>
      </c>
    </row>
    <row r="74" spans="1:9" ht="15">
      <c r="A74" s="727" t="s">
        <v>931</v>
      </c>
      <c r="I74" s="727">
        <v>0</v>
      </c>
    </row>
    <row r="77" spans="1:9" ht="15">
      <c r="A77" s="727" t="s">
        <v>930</v>
      </c>
      <c r="I77" s="727">
        <v>0</v>
      </c>
    </row>
    <row r="80" spans="1:9" ht="15">
      <c r="A80" s="727" t="s">
        <v>927</v>
      </c>
      <c r="I80" s="727">
        <v>0</v>
      </c>
    </row>
    <row r="83" spans="1:9" ht="15">
      <c r="A83" s="727" t="s">
        <v>926</v>
      </c>
      <c r="I83" s="727">
        <v>0</v>
      </c>
    </row>
    <row r="86" ht="15">
      <c r="I86" s="727">
        <f>I62-I64-I67-I71-I74-I77-I80-I83</f>
        <v>126</v>
      </c>
    </row>
    <row r="88" ht="15">
      <c r="A88" s="727" t="s">
        <v>925</v>
      </c>
    </row>
    <row r="89" ht="15">
      <c r="I89" s="727">
        <f>I86/100*40</f>
        <v>50.4</v>
      </c>
    </row>
    <row r="91" ht="15">
      <c r="I91" s="727">
        <f>I86/100*60</f>
        <v>75.6</v>
      </c>
    </row>
    <row r="116" spans="1:9" ht="15">
      <c r="A116" s="727" t="s">
        <v>924</v>
      </c>
      <c r="I116" s="727">
        <v>3</v>
      </c>
    </row>
    <row r="118" spans="1:9" ht="15">
      <c r="A118" s="727" t="s">
        <v>923</v>
      </c>
      <c r="I118" s="727">
        <v>5446</v>
      </c>
    </row>
    <row r="119" spans="1:9" ht="15">
      <c r="A119" s="727" t="s">
        <v>922</v>
      </c>
      <c r="I119" s="727">
        <v>4750</v>
      </c>
    </row>
    <row r="120" spans="2:9" ht="15">
      <c r="B120" s="727" t="s">
        <v>929</v>
      </c>
      <c r="I120" s="727">
        <f>I118-I119</f>
        <v>696</v>
      </c>
    </row>
    <row r="121" ht="15">
      <c r="A121" s="727" t="s">
        <v>928</v>
      </c>
    </row>
    <row r="122" spans="1:9" ht="15">
      <c r="A122" s="727" t="s">
        <v>935</v>
      </c>
      <c r="I122" s="727">
        <v>0</v>
      </c>
    </row>
    <row r="132" spans="1:9" ht="15">
      <c r="A132" s="727" t="s">
        <v>931</v>
      </c>
      <c r="I132" s="727">
        <v>0</v>
      </c>
    </row>
    <row r="135" ht="15">
      <c r="I135" s="727">
        <f>F141</f>
        <v>558</v>
      </c>
    </row>
    <row r="136" spans="4:6" ht="15">
      <c r="D136" s="727">
        <v>0</v>
      </c>
      <c r="E136" s="727">
        <v>0</v>
      </c>
      <c r="F136" s="727">
        <f>D136-E136</f>
        <v>0</v>
      </c>
    </row>
    <row r="137" spans="4:6" ht="15">
      <c r="D137" s="727">
        <v>335</v>
      </c>
      <c r="E137" s="727">
        <v>147</v>
      </c>
      <c r="F137" s="727">
        <f>D137-E137</f>
        <v>188</v>
      </c>
    </row>
    <row r="138" spans="4:6" ht="15">
      <c r="D138" s="727">
        <v>235</v>
      </c>
      <c r="E138" s="727">
        <v>204</v>
      </c>
      <c r="F138" s="727">
        <f>D138-E138</f>
        <v>31</v>
      </c>
    </row>
    <row r="139" spans="4:6" ht="15">
      <c r="D139" s="727">
        <v>70</v>
      </c>
      <c r="E139" s="727">
        <v>72</v>
      </c>
      <c r="F139" s="727">
        <v>0</v>
      </c>
    </row>
    <row r="140" spans="4:6" ht="15">
      <c r="D140" s="727">
        <v>951</v>
      </c>
      <c r="E140" s="727">
        <v>612</v>
      </c>
      <c r="F140" s="727">
        <f>D140-E140</f>
        <v>339</v>
      </c>
    </row>
    <row r="141" spans="4:6" ht="15">
      <c r="D141" s="727">
        <f>D136+D137+D138+D139+D140</f>
        <v>1591</v>
      </c>
      <c r="E141" s="727">
        <f>E136+E137+E138+E139+E140</f>
        <v>1035</v>
      </c>
      <c r="F141" s="727">
        <f>F136+F137+F138+F139+F140</f>
        <v>558</v>
      </c>
    </row>
    <row r="143" ht="15">
      <c r="A143" s="727" t="s">
        <v>927</v>
      </c>
    </row>
    <row r="146" ht="15">
      <c r="A146" s="727" t="s">
        <v>926</v>
      </c>
    </row>
    <row r="149" ht="15">
      <c r="I149" s="727">
        <f>I120-I122-I125-I129-I132-I135-I143-I146</f>
        <v>138</v>
      </c>
    </row>
    <row r="152" ht="15">
      <c r="I152" s="727">
        <f>I149</f>
        <v>138</v>
      </c>
    </row>
    <row r="174" spans="1:9" ht="15">
      <c r="A174" s="727" t="s">
        <v>924</v>
      </c>
      <c r="I174" s="727">
        <v>4</v>
      </c>
    </row>
    <row r="176" spans="1:9" ht="15">
      <c r="A176" s="727" t="s">
        <v>923</v>
      </c>
      <c r="I176" s="727">
        <v>955</v>
      </c>
    </row>
    <row r="177" spans="1:9" ht="15">
      <c r="A177" s="727" t="s">
        <v>922</v>
      </c>
      <c r="I177" s="727">
        <v>955</v>
      </c>
    </row>
    <row r="178" spans="2:9" ht="15">
      <c r="B178" s="727" t="s">
        <v>929</v>
      </c>
      <c r="I178" s="727">
        <f>I176-I177</f>
        <v>0</v>
      </c>
    </row>
    <row r="179" ht="15">
      <c r="A179" s="727" t="s">
        <v>928</v>
      </c>
    </row>
    <row r="180" ht="15">
      <c r="A180" s="727" t="s">
        <v>935</v>
      </c>
    </row>
    <row r="183" ht="15">
      <c r="A183" s="727" t="s">
        <v>934</v>
      </c>
    </row>
    <row r="186" ht="15">
      <c r="A186" s="727" t="s">
        <v>933</v>
      </c>
    </row>
    <row r="187" ht="15">
      <c r="A187" s="727" t="s">
        <v>932</v>
      </c>
    </row>
    <row r="190" ht="15">
      <c r="A190" s="727" t="s">
        <v>931</v>
      </c>
    </row>
    <row r="193" ht="15">
      <c r="A193" s="727" t="s">
        <v>930</v>
      </c>
    </row>
    <row r="196" ht="15">
      <c r="A196" s="727" t="s">
        <v>927</v>
      </c>
    </row>
    <row r="199" ht="15">
      <c r="A199" s="727" t="s">
        <v>926</v>
      </c>
    </row>
    <row r="202" ht="15">
      <c r="I202" s="727">
        <f>I178-I180-I183-I187-I190-I193-I196-I199</f>
        <v>0</v>
      </c>
    </row>
    <row r="204" ht="15">
      <c r="A204" s="727" t="s">
        <v>925</v>
      </c>
    </row>
    <row r="205" ht="15">
      <c r="I205" s="727">
        <f>I202</f>
        <v>0</v>
      </c>
    </row>
    <row r="233" spans="1:9" ht="15">
      <c r="A233" s="727" t="s">
        <v>924</v>
      </c>
      <c r="I233" s="727">
        <v>5</v>
      </c>
    </row>
    <row r="235" ht="15">
      <c r="A235" s="727" t="s">
        <v>923</v>
      </c>
    </row>
    <row r="236" ht="15">
      <c r="A236" s="727" t="s">
        <v>922</v>
      </c>
    </row>
    <row r="237" spans="2:9" ht="15">
      <c r="B237" s="727" t="s">
        <v>929</v>
      </c>
      <c r="I237" s="727">
        <f>I235-I236</f>
        <v>0</v>
      </c>
    </row>
    <row r="238" ht="15">
      <c r="A238" s="727" t="s">
        <v>928</v>
      </c>
    </row>
    <row r="239" ht="15">
      <c r="A239" s="727" t="s">
        <v>935</v>
      </c>
    </row>
    <row r="242" ht="15">
      <c r="A242" s="727" t="s">
        <v>934</v>
      </c>
    </row>
    <row r="245" ht="15">
      <c r="A245" s="727" t="s">
        <v>933</v>
      </c>
    </row>
    <row r="246" ht="15">
      <c r="A246" s="727" t="s">
        <v>932</v>
      </c>
    </row>
    <row r="249" ht="15">
      <c r="A249" s="727" t="s">
        <v>931</v>
      </c>
    </row>
    <row r="252" ht="15">
      <c r="A252" s="727" t="s">
        <v>930</v>
      </c>
    </row>
    <row r="255" ht="15">
      <c r="A255" s="727" t="s">
        <v>927</v>
      </c>
    </row>
    <row r="258" ht="15">
      <c r="A258" s="727" t="s">
        <v>926</v>
      </c>
    </row>
    <row r="261" ht="15">
      <c r="I261" s="727">
        <f>I237-I239-I242-I246-I249-I252-I255-I258</f>
        <v>0</v>
      </c>
    </row>
    <row r="264" ht="15">
      <c r="A264" s="727" t="s">
        <v>925</v>
      </c>
    </row>
    <row r="268" ht="15">
      <c r="I268" s="727">
        <f>I38+I86+I149+I202+I261</f>
        <v>799</v>
      </c>
    </row>
    <row r="270" ht="15">
      <c r="I270" s="727">
        <f>I41+I89</f>
        <v>264.4</v>
      </c>
    </row>
    <row r="271" ht="15">
      <c r="I271" s="727">
        <f>I265+I205+I152+I91+I43</f>
        <v>534.6</v>
      </c>
    </row>
    <row r="273" spans="1:9" ht="15">
      <c r="A273" s="727" t="s">
        <v>924</v>
      </c>
      <c r="I273" s="727">
        <v>6</v>
      </c>
    </row>
    <row r="275" spans="1:9" ht="15">
      <c r="A275" s="727" t="s">
        <v>923</v>
      </c>
      <c r="I275" s="727">
        <v>3821</v>
      </c>
    </row>
    <row r="276" spans="1:9" ht="15">
      <c r="A276" s="727" t="s">
        <v>922</v>
      </c>
      <c r="I276" s="727">
        <v>4205</v>
      </c>
    </row>
    <row r="277" ht="15">
      <c r="I277" s="727">
        <f>I276-I275</f>
        <v>384</v>
      </c>
    </row>
    <row r="280" ht="15">
      <c r="I280" s="727">
        <f>I277-I278</f>
        <v>384</v>
      </c>
    </row>
    <row r="282" ht="15">
      <c r="I282" s="727">
        <f>I280+I268</f>
        <v>1183</v>
      </c>
    </row>
    <row r="284" ht="15">
      <c r="I284" s="727">
        <f>I270</f>
        <v>264.4</v>
      </c>
    </row>
    <row r="285" ht="15">
      <c r="I285" s="727">
        <f>I271+I280</f>
        <v>918.6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5:I2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27" customWidth="1"/>
  </cols>
  <sheetData>
    <row r="5" ht="15">
      <c r="E5" s="727" t="s">
        <v>940</v>
      </c>
    </row>
    <row r="7" ht="15">
      <c r="C7" s="727" t="s">
        <v>939</v>
      </c>
    </row>
    <row r="10" spans="1:9" ht="15">
      <c r="A10" s="727" t="s">
        <v>924</v>
      </c>
      <c r="I10" s="727">
        <v>1</v>
      </c>
    </row>
    <row r="11" ht="15">
      <c r="A11" s="727" t="s">
        <v>938</v>
      </c>
    </row>
    <row r="12" spans="1:9" ht="15">
      <c r="A12" s="727" t="s">
        <v>923</v>
      </c>
      <c r="I12" s="727">
        <v>61997</v>
      </c>
    </row>
    <row r="13" spans="1:9" ht="15">
      <c r="A13" s="727" t="s">
        <v>922</v>
      </c>
      <c r="I13" s="727">
        <v>54612</v>
      </c>
    </row>
    <row r="14" spans="2:9" ht="15">
      <c r="B14" s="727" t="s">
        <v>929</v>
      </c>
      <c r="I14" s="727">
        <f>I12-I13</f>
        <v>7385</v>
      </c>
    </row>
    <row r="15" ht="15">
      <c r="A15" s="727" t="s">
        <v>928</v>
      </c>
    </row>
    <row r="16" ht="15">
      <c r="A16" s="727" t="s">
        <v>935</v>
      </c>
    </row>
    <row r="19" ht="15">
      <c r="A19" s="727" t="s">
        <v>934</v>
      </c>
    </row>
    <row r="22" ht="15">
      <c r="A22" s="727" t="s">
        <v>933</v>
      </c>
    </row>
    <row r="23" spans="1:9" ht="15">
      <c r="A23" s="727" t="s">
        <v>932</v>
      </c>
      <c r="I23" s="727">
        <v>6293</v>
      </c>
    </row>
    <row r="26" ht="15">
      <c r="A26" s="727" t="s">
        <v>931</v>
      </c>
    </row>
    <row r="29" ht="15">
      <c r="A29" s="727" t="s">
        <v>930</v>
      </c>
    </row>
    <row r="32" ht="15">
      <c r="A32" s="727" t="s">
        <v>927</v>
      </c>
    </row>
    <row r="35" ht="15">
      <c r="A35" s="727" t="s">
        <v>926</v>
      </c>
    </row>
    <row r="38" spans="1:9" ht="15">
      <c r="A38" s="727" t="s">
        <v>937</v>
      </c>
      <c r="I38" s="727">
        <f>I14-I16-I19-I23-I26-I29-I32-I35</f>
        <v>1092</v>
      </c>
    </row>
    <row r="40" ht="15">
      <c r="A40" s="727" t="s">
        <v>925</v>
      </c>
    </row>
    <row r="41" spans="1:9" ht="15">
      <c r="A41" s="727" t="s">
        <v>936</v>
      </c>
      <c r="I41" s="727">
        <f>I38/100*40</f>
        <v>436.8</v>
      </c>
    </row>
    <row r="43" ht="15">
      <c r="I43" s="727">
        <v>655</v>
      </c>
    </row>
    <row r="58" spans="1:9" ht="15">
      <c r="A58" s="727" t="s">
        <v>924</v>
      </c>
      <c r="I58" s="727">
        <v>2</v>
      </c>
    </row>
    <row r="60" spans="1:9" ht="15">
      <c r="A60" s="727" t="s">
        <v>923</v>
      </c>
      <c r="I60" s="727">
        <v>19536</v>
      </c>
    </row>
    <row r="61" spans="1:9" ht="15">
      <c r="A61" s="727" t="s">
        <v>922</v>
      </c>
      <c r="I61" s="727">
        <v>15765</v>
      </c>
    </row>
    <row r="62" spans="2:9" ht="15">
      <c r="B62" s="727" t="s">
        <v>929</v>
      </c>
      <c r="I62" s="727">
        <f>I60-I61</f>
        <v>3771</v>
      </c>
    </row>
    <row r="63" ht="15">
      <c r="A63" s="727" t="s">
        <v>928</v>
      </c>
    </row>
    <row r="64" ht="15">
      <c r="A64" s="727" t="s">
        <v>935</v>
      </c>
    </row>
    <row r="67" ht="15">
      <c r="A67" s="727" t="s">
        <v>934</v>
      </c>
    </row>
    <row r="70" ht="15">
      <c r="A70" s="727" t="s">
        <v>933</v>
      </c>
    </row>
    <row r="71" spans="1:9" ht="15">
      <c r="A71" s="727" t="s">
        <v>932</v>
      </c>
      <c r="I71" s="727">
        <v>2014</v>
      </c>
    </row>
    <row r="74" ht="15">
      <c r="A74" s="727" t="s">
        <v>931</v>
      </c>
    </row>
    <row r="77" ht="15">
      <c r="A77" s="727" t="s">
        <v>930</v>
      </c>
    </row>
    <row r="80" ht="15">
      <c r="A80" s="727" t="s">
        <v>927</v>
      </c>
    </row>
    <row r="83" ht="15">
      <c r="A83" s="727" t="s">
        <v>926</v>
      </c>
    </row>
    <row r="86" ht="15">
      <c r="I86" s="727">
        <f>I62-I64-I67-I71-I74-I77-I80-I83</f>
        <v>1757</v>
      </c>
    </row>
    <row r="87" ht="15">
      <c r="I87" s="727">
        <v>350</v>
      </c>
    </row>
    <row r="88" ht="15">
      <c r="A88" s="727" t="s">
        <v>925</v>
      </c>
    </row>
    <row r="89" ht="15">
      <c r="I89" s="727">
        <f>I87/100*40</f>
        <v>140</v>
      </c>
    </row>
    <row r="91" ht="15">
      <c r="I91" s="727">
        <f>I87/100*60</f>
        <v>210</v>
      </c>
    </row>
    <row r="116" spans="1:9" ht="15">
      <c r="A116" s="727" t="s">
        <v>924</v>
      </c>
      <c r="I116" s="727">
        <v>3</v>
      </c>
    </row>
    <row r="118" ht="15">
      <c r="A118" s="727" t="s">
        <v>923</v>
      </c>
    </row>
    <row r="119" ht="15">
      <c r="A119" s="727" t="s">
        <v>922</v>
      </c>
    </row>
    <row r="132" ht="15">
      <c r="A132" s="727" t="s">
        <v>931</v>
      </c>
    </row>
    <row r="138" ht="15">
      <c r="A138" s="727" t="s">
        <v>927</v>
      </c>
    </row>
    <row r="141" ht="15">
      <c r="A141" s="727" t="s">
        <v>926</v>
      </c>
    </row>
    <row r="144" ht="15">
      <c r="I144" s="727">
        <v>0</v>
      </c>
    </row>
    <row r="174" spans="1:9" ht="15">
      <c r="A174" s="727" t="s">
        <v>924</v>
      </c>
      <c r="I174" s="727">
        <v>4</v>
      </c>
    </row>
    <row r="176" spans="1:9" ht="15">
      <c r="A176" s="727" t="s">
        <v>923</v>
      </c>
      <c r="I176" s="727">
        <v>0</v>
      </c>
    </row>
    <row r="177" spans="1:9" ht="15">
      <c r="A177" s="727" t="s">
        <v>922</v>
      </c>
      <c r="I177" s="727">
        <v>0</v>
      </c>
    </row>
    <row r="178" spans="2:9" ht="15">
      <c r="B178" s="727" t="s">
        <v>929</v>
      </c>
      <c r="I178" s="727">
        <f>I176-I177</f>
        <v>0</v>
      </c>
    </row>
    <row r="179" ht="15">
      <c r="A179" s="727" t="s">
        <v>928</v>
      </c>
    </row>
    <row r="180" ht="15">
      <c r="A180" s="727" t="s">
        <v>935</v>
      </c>
    </row>
    <row r="183" ht="15">
      <c r="A183" s="727" t="s">
        <v>934</v>
      </c>
    </row>
    <row r="186" ht="15">
      <c r="A186" s="727" t="s">
        <v>933</v>
      </c>
    </row>
    <row r="187" ht="15">
      <c r="A187" s="727" t="s">
        <v>932</v>
      </c>
    </row>
    <row r="190" ht="15">
      <c r="A190" s="727" t="s">
        <v>931</v>
      </c>
    </row>
    <row r="193" ht="15">
      <c r="A193" s="727" t="s">
        <v>930</v>
      </c>
    </row>
    <row r="196" ht="15">
      <c r="A196" s="727" t="s">
        <v>927</v>
      </c>
    </row>
    <row r="199" ht="15">
      <c r="A199" s="727" t="s">
        <v>926</v>
      </c>
    </row>
    <row r="202" ht="15">
      <c r="I202" s="727">
        <f>I178-I180-I183-I187-I190-I193-I196-I199</f>
        <v>0</v>
      </c>
    </row>
    <row r="204" ht="15">
      <c r="A204" s="727" t="s">
        <v>925</v>
      </c>
    </row>
    <row r="232" spans="1:9" ht="15">
      <c r="A232" s="727" t="s">
        <v>924</v>
      </c>
      <c r="I232" s="727">
        <v>5</v>
      </c>
    </row>
    <row r="234" spans="1:9" ht="15">
      <c r="A234" s="727" t="s">
        <v>923</v>
      </c>
      <c r="I234" s="727">
        <v>0</v>
      </c>
    </row>
    <row r="235" spans="1:9" ht="15">
      <c r="A235" s="727" t="s">
        <v>922</v>
      </c>
      <c r="I235" s="727">
        <v>0</v>
      </c>
    </row>
    <row r="236" spans="2:9" ht="15">
      <c r="B236" s="727" t="s">
        <v>929</v>
      </c>
      <c r="I236" s="727">
        <f>I234-I235</f>
        <v>0</v>
      </c>
    </row>
    <row r="237" ht="15">
      <c r="A237" s="727" t="s">
        <v>928</v>
      </c>
    </row>
    <row r="238" ht="15">
      <c r="A238" s="727" t="s">
        <v>935</v>
      </c>
    </row>
    <row r="241" ht="15">
      <c r="A241" s="727" t="s">
        <v>934</v>
      </c>
    </row>
    <row r="244" ht="15">
      <c r="A244" s="727" t="s">
        <v>933</v>
      </c>
    </row>
    <row r="245" ht="15">
      <c r="A245" s="727" t="s">
        <v>932</v>
      </c>
    </row>
    <row r="248" ht="15">
      <c r="A248" s="727" t="s">
        <v>931</v>
      </c>
    </row>
    <row r="251" ht="15">
      <c r="A251" s="727" t="s">
        <v>930</v>
      </c>
    </row>
    <row r="254" ht="15">
      <c r="A254" s="727" t="s">
        <v>927</v>
      </c>
    </row>
    <row r="257" ht="15">
      <c r="A257" s="727" t="s">
        <v>926</v>
      </c>
    </row>
    <row r="270" ht="15">
      <c r="I270" s="727">
        <f>I264+I205+I147+I91+I43</f>
        <v>865</v>
      </c>
    </row>
    <row r="272" spans="1:9" ht="15">
      <c r="A272" s="727" t="s">
        <v>924</v>
      </c>
      <c r="I272" s="727">
        <v>6</v>
      </c>
    </row>
    <row r="274" spans="1:9" ht="15">
      <c r="A274" s="727" t="s">
        <v>923</v>
      </c>
      <c r="I274" s="727">
        <v>0</v>
      </c>
    </row>
    <row r="275" spans="1:9" ht="15">
      <c r="A275" s="727" t="s">
        <v>922</v>
      </c>
      <c r="I275" s="727">
        <v>0</v>
      </c>
    </row>
    <row r="276" ht="15">
      <c r="I276" s="727">
        <f>I274-I275</f>
        <v>0</v>
      </c>
    </row>
    <row r="279" ht="15">
      <c r="I279" s="727">
        <f>I276-I277</f>
        <v>0</v>
      </c>
    </row>
    <row r="281" ht="15">
      <c r="I281" s="727">
        <f>I267+I279</f>
        <v>0</v>
      </c>
    </row>
    <row r="283" ht="15">
      <c r="I283" s="727">
        <f>I269</f>
        <v>0</v>
      </c>
    </row>
    <row r="284" ht="15">
      <c r="I284" s="727">
        <f>I270+I279</f>
        <v>865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4.57421875" style="0" customWidth="1"/>
    <col min="7" max="7" width="10.421875" style="0" customWidth="1"/>
    <col min="11" max="11" width="10.140625" style="0" customWidth="1"/>
    <col min="14" max="14" width="8.7109375" style="0" customWidth="1"/>
    <col min="15" max="15" width="8.28125" style="0" customWidth="1"/>
  </cols>
  <sheetData>
    <row r="1" spans="9:15" ht="12.75">
      <c r="I1" s="245"/>
      <c r="L1" s="1362"/>
      <c r="M1" s="1362"/>
      <c r="N1" s="1362"/>
      <c r="O1" s="1362"/>
    </row>
    <row r="3" spans="2:15" ht="12.75">
      <c r="B3" s="1097" t="s">
        <v>969</v>
      </c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</row>
    <row r="4" spans="2:15" ht="12.75">
      <c r="B4" s="1097" t="s">
        <v>968</v>
      </c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</row>
    <row r="5" spans="2:15" ht="12.75">
      <c r="B5" s="1097" t="s">
        <v>967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</row>
    <row r="9" spans="12:13" ht="12.75">
      <c r="L9" s="1432" t="s">
        <v>500</v>
      </c>
      <c r="M9" s="1432"/>
    </row>
    <row r="10" spans="1:13" ht="12.75">
      <c r="A10" s="1174"/>
      <c r="B10" s="1618" t="s">
        <v>41</v>
      </c>
      <c r="C10" s="1619"/>
      <c r="D10" s="1619"/>
      <c r="E10" s="1620"/>
      <c r="F10" s="758" t="s">
        <v>27</v>
      </c>
      <c r="G10" s="758" t="s">
        <v>28</v>
      </c>
      <c r="H10" s="758" t="s">
        <v>29</v>
      </c>
      <c r="I10" s="758" t="s">
        <v>30</v>
      </c>
      <c r="J10" s="758" t="s">
        <v>439</v>
      </c>
      <c r="K10" s="758" t="s">
        <v>438</v>
      </c>
      <c r="L10" s="758" t="s">
        <v>437</v>
      </c>
      <c r="M10" s="758" t="s">
        <v>436</v>
      </c>
    </row>
    <row r="11" spans="1:13" ht="12.75" customHeight="1">
      <c r="A11" s="1175"/>
      <c r="B11" s="1629" t="s">
        <v>966</v>
      </c>
      <c r="C11" s="1630"/>
      <c r="D11" s="1630"/>
      <c r="E11" s="1630"/>
      <c r="F11" s="1633" t="s">
        <v>965</v>
      </c>
      <c r="G11" s="1633"/>
      <c r="H11" s="1633" t="s">
        <v>963</v>
      </c>
      <c r="I11" s="1633"/>
      <c r="J11" s="1633" t="s">
        <v>964</v>
      </c>
      <c r="K11" s="1633"/>
      <c r="L11" s="1633" t="s">
        <v>963</v>
      </c>
      <c r="M11" s="1633"/>
    </row>
    <row r="12" spans="1:13" ht="27.75" thickBot="1">
      <c r="A12" s="1176"/>
      <c r="B12" s="1631"/>
      <c r="C12" s="1632"/>
      <c r="D12" s="1632"/>
      <c r="E12" s="1632"/>
      <c r="F12" s="756" t="s">
        <v>959</v>
      </c>
      <c r="G12" s="757" t="s">
        <v>962</v>
      </c>
      <c r="H12" s="756" t="s">
        <v>961</v>
      </c>
      <c r="I12" s="756" t="s">
        <v>960</v>
      </c>
      <c r="J12" s="756" t="s">
        <v>959</v>
      </c>
      <c r="K12" s="757" t="s">
        <v>958</v>
      </c>
      <c r="L12" s="756" t="s">
        <v>957</v>
      </c>
      <c r="M12" s="756" t="s">
        <v>956</v>
      </c>
    </row>
    <row r="13" spans="1:13" ht="15.75">
      <c r="A13" s="743">
        <v>1</v>
      </c>
      <c r="B13" s="1623" t="s">
        <v>955</v>
      </c>
      <c r="C13" s="1624"/>
      <c r="D13" s="1624"/>
      <c r="E13" s="1624"/>
      <c r="F13" s="754"/>
      <c r="G13" s="755">
        <v>493723</v>
      </c>
      <c r="H13" s="754"/>
      <c r="I13" s="754"/>
      <c r="J13" s="754"/>
      <c r="K13" s="754"/>
      <c r="L13" s="754"/>
      <c r="M13" s="754"/>
    </row>
    <row r="14" spans="1:13" ht="12.75">
      <c r="A14" s="743">
        <v>2</v>
      </c>
      <c r="B14" s="1418" t="s">
        <v>954</v>
      </c>
      <c r="C14" s="1622"/>
      <c r="D14" s="1622"/>
      <c r="E14" s="1622"/>
      <c r="F14" s="745">
        <f>3827-756</f>
        <v>3071</v>
      </c>
      <c r="G14" s="745">
        <f>4006-756</f>
        <v>3250</v>
      </c>
      <c r="H14" s="745">
        <v>0</v>
      </c>
      <c r="I14" s="745">
        <f>G14-F14</f>
        <v>179</v>
      </c>
      <c r="J14" s="745">
        <v>64332</v>
      </c>
      <c r="K14" s="745">
        <v>61929</v>
      </c>
      <c r="L14" s="745">
        <f>J14-K14</f>
        <v>2403</v>
      </c>
      <c r="M14" s="745">
        <v>0</v>
      </c>
    </row>
    <row r="15" spans="1:13" ht="12.75">
      <c r="A15" s="743">
        <v>3</v>
      </c>
      <c r="B15" s="1418" t="s">
        <v>953</v>
      </c>
      <c r="C15" s="1622"/>
      <c r="D15" s="1622"/>
      <c r="E15" s="1622"/>
      <c r="F15" s="745">
        <f>6461-1008</f>
        <v>5453</v>
      </c>
      <c r="G15" s="745">
        <f>7926-1008</f>
        <v>6918</v>
      </c>
      <c r="H15" s="745">
        <v>0</v>
      </c>
      <c r="I15" s="745">
        <f>G15-F15</f>
        <v>1465</v>
      </c>
      <c r="J15" s="745">
        <v>133747</v>
      </c>
      <c r="K15" s="745">
        <v>129843</v>
      </c>
      <c r="L15" s="745">
        <f>J15-K15</f>
        <v>3904</v>
      </c>
      <c r="M15" s="745">
        <v>0</v>
      </c>
    </row>
    <row r="16" spans="1:13" ht="12.75">
      <c r="A16" s="743">
        <v>4</v>
      </c>
      <c r="B16" s="1627" t="s">
        <v>952</v>
      </c>
      <c r="C16" s="1628"/>
      <c r="D16" s="1628"/>
      <c r="E16" s="1628"/>
      <c r="F16" s="745">
        <v>0</v>
      </c>
      <c r="G16" s="745">
        <v>0</v>
      </c>
      <c r="H16" s="745">
        <v>0</v>
      </c>
      <c r="I16" s="745">
        <f>G16-F16</f>
        <v>0</v>
      </c>
      <c r="J16" s="745">
        <v>0</v>
      </c>
      <c r="K16" s="745">
        <v>0</v>
      </c>
      <c r="L16" s="745">
        <v>0</v>
      </c>
      <c r="M16" s="745">
        <v>0</v>
      </c>
    </row>
    <row r="17" spans="1:13" ht="12.75">
      <c r="A17" s="743">
        <v>5</v>
      </c>
      <c r="B17" s="1627" t="s">
        <v>951</v>
      </c>
      <c r="C17" s="1628"/>
      <c r="D17" s="1628"/>
      <c r="E17" s="1628"/>
      <c r="F17" s="745">
        <v>2206</v>
      </c>
      <c r="G17" s="745">
        <v>2259</v>
      </c>
      <c r="H17" s="745">
        <v>0</v>
      </c>
      <c r="I17" s="745">
        <f>G17-F17</f>
        <v>53</v>
      </c>
      <c r="J17" s="745">
        <v>39720</v>
      </c>
      <c r="K17" s="745">
        <v>40511</v>
      </c>
      <c r="L17" s="745">
        <v>0</v>
      </c>
      <c r="M17" s="745">
        <f>K17-J17</f>
        <v>791</v>
      </c>
    </row>
    <row r="18" spans="1:13" ht="12.75">
      <c r="A18" s="743">
        <v>6</v>
      </c>
      <c r="B18" s="1627" t="s">
        <v>950</v>
      </c>
      <c r="C18" s="1628"/>
      <c r="D18" s="1628"/>
      <c r="E18" s="1628"/>
      <c r="F18" s="745">
        <f>25983-623</f>
        <v>25360</v>
      </c>
      <c r="G18" s="745">
        <f>26183-623</f>
        <v>25560</v>
      </c>
      <c r="H18" s="745">
        <v>0</v>
      </c>
      <c r="I18" s="745">
        <f>G18-F18</f>
        <v>200</v>
      </c>
      <c r="J18" s="745">
        <v>34721</v>
      </c>
      <c r="K18" s="745">
        <v>32367</v>
      </c>
      <c r="L18" s="745">
        <f>J18-K18</f>
        <v>2354</v>
      </c>
      <c r="M18" s="745">
        <v>0</v>
      </c>
    </row>
    <row r="19" spans="1:13" ht="12.75">
      <c r="A19" s="743">
        <v>7</v>
      </c>
      <c r="B19" s="1627" t="s">
        <v>949</v>
      </c>
      <c r="C19" s="1628"/>
      <c r="D19" s="1628"/>
      <c r="E19" s="1628"/>
      <c r="F19" s="745">
        <f>1081690-491158</f>
        <v>590532</v>
      </c>
      <c r="G19" s="745">
        <f>524636-1145</f>
        <v>523491</v>
      </c>
      <c r="H19" s="745">
        <f>F19-G19</f>
        <v>67041</v>
      </c>
      <c r="I19" s="744">
        <v>0</v>
      </c>
      <c r="J19" s="745">
        <f>847095-75153</f>
        <v>771942</v>
      </c>
      <c r="K19" s="745">
        <f>293720</f>
        <v>293720</v>
      </c>
      <c r="L19" s="745">
        <f>J19-K19</f>
        <v>478222</v>
      </c>
      <c r="M19" s="744">
        <v>0</v>
      </c>
    </row>
    <row r="20" spans="1:13" ht="12.75">
      <c r="A20" s="743">
        <v>8</v>
      </c>
      <c r="B20" s="1627" t="s">
        <v>948</v>
      </c>
      <c r="C20" s="1628"/>
      <c r="D20" s="1628"/>
      <c r="E20" s="1628"/>
      <c r="F20" s="745">
        <f>416-216</f>
        <v>200</v>
      </c>
      <c r="G20" s="745">
        <f>433-216</f>
        <v>217</v>
      </c>
      <c r="H20" s="745">
        <v>0</v>
      </c>
      <c r="I20" s="745">
        <f>G20-F20</f>
        <v>17</v>
      </c>
      <c r="J20" s="745">
        <v>968</v>
      </c>
      <c r="K20" s="745">
        <v>906</v>
      </c>
      <c r="L20" s="745">
        <f>J20-K20</f>
        <v>62</v>
      </c>
      <c r="M20" s="745">
        <v>0</v>
      </c>
    </row>
    <row r="21" spans="1:13" ht="12.75">
      <c r="A21" s="743">
        <v>9</v>
      </c>
      <c r="B21" s="1627" t="s">
        <v>947</v>
      </c>
      <c r="C21" s="1628"/>
      <c r="D21" s="1628"/>
      <c r="E21" s="1628"/>
      <c r="F21" s="744"/>
      <c r="G21" s="744">
        <v>-20</v>
      </c>
      <c r="H21" s="744">
        <v>20</v>
      </c>
      <c r="I21" s="744"/>
      <c r="J21" s="744"/>
      <c r="K21" s="745">
        <v>-1171</v>
      </c>
      <c r="L21" s="745">
        <v>1171</v>
      </c>
      <c r="M21" s="744"/>
    </row>
    <row r="22" spans="1:13" s="26" customFormat="1" ht="15.75">
      <c r="A22" s="743">
        <v>11</v>
      </c>
      <c r="B22" s="1634" t="s">
        <v>946</v>
      </c>
      <c r="C22" s="1635"/>
      <c r="D22" s="1635"/>
      <c r="E22" s="1635"/>
      <c r="F22" s="747">
        <f aca="true" t="shared" si="0" ref="F22:M22">SUM(F14:F21)</f>
        <v>626822</v>
      </c>
      <c r="G22" s="752">
        <f t="shared" si="0"/>
        <v>561675</v>
      </c>
      <c r="H22" s="746">
        <f t="shared" si="0"/>
        <v>67061</v>
      </c>
      <c r="I22" s="746">
        <f t="shared" si="0"/>
        <v>1914</v>
      </c>
      <c r="J22" s="747">
        <f t="shared" si="0"/>
        <v>1045430</v>
      </c>
      <c r="K22" s="752">
        <f t="shared" si="0"/>
        <v>558105</v>
      </c>
      <c r="L22" s="746">
        <f t="shared" si="0"/>
        <v>488116</v>
      </c>
      <c r="M22" s="746">
        <f t="shared" si="0"/>
        <v>791</v>
      </c>
    </row>
    <row r="23" spans="1:13" ht="12.75">
      <c r="A23" s="743">
        <v>12</v>
      </c>
      <c r="B23" s="1627" t="s">
        <v>945</v>
      </c>
      <c r="C23" s="1628"/>
      <c r="D23" s="1628"/>
      <c r="E23" s="1628"/>
      <c r="F23" s="744"/>
      <c r="G23" s="749">
        <f>F22-G22</f>
        <v>65147</v>
      </c>
      <c r="H23" s="746">
        <v>0</v>
      </c>
      <c r="I23" s="749">
        <f>H22-I22</f>
        <v>65147</v>
      </c>
      <c r="J23" s="744"/>
      <c r="K23" s="751">
        <f>J22-K22</f>
        <v>487325</v>
      </c>
      <c r="L23" s="750"/>
      <c r="M23" s="749">
        <f>L22-M22</f>
        <v>487325</v>
      </c>
    </row>
    <row r="24" spans="1:13" s="26" customFormat="1" ht="12.75">
      <c r="A24" s="743">
        <v>13</v>
      </c>
      <c r="B24" s="1636" t="s">
        <v>944</v>
      </c>
      <c r="C24" s="1628"/>
      <c r="D24" s="1628"/>
      <c r="E24" s="1628"/>
      <c r="F24" s="747">
        <v>493761</v>
      </c>
      <c r="G24" s="745">
        <v>3748</v>
      </c>
      <c r="H24" s="746">
        <f>F24-G24</f>
        <v>490013</v>
      </c>
      <c r="I24" s="746"/>
      <c r="J24" s="747">
        <v>75153</v>
      </c>
      <c r="K24" s="744"/>
      <c r="L24" s="746">
        <v>75153</v>
      </c>
      <c r="M24" s="746"/>
    </row>
    <row r="25" spans="1:13" ht="12.75">
      <c r="A25" s="743">
        <v>14</v>
      </c>
      <c r="B25" s="1621" t="s">
        <v>943</v>
      </c>
      <c r="C25" s="1622"/>
      <c r="D25" s="1622"/>
      <c r="E25" s="1622"/>
      <c r="F25" s="745">
        <f>SUM(F22:F24)</f>
        <v>1120583</v>
      </c>
      <c r="G25" s="745">
        <f>SUM(G22:G24)-G23</f>
        <v>565423</v>
      </c>
      <c r="H25" s="744">
        <v>0</v>
      </c>
      <c r="I25" s="744"/>
      <c r="J25" s="745">
        <f>SUM(J22:J24)</f>
        <v>1120583</v>
      </c>
      <c r="K25" s="745">
        <f>SUM(K22:K24)-K23</f>
        <v>558105</v>
      </c>
      <c r="L25" s="744"/>
      <c r="M25" s="744"/>
    </row>
    <row r="26" spans="1:13" ht="16.5" thickBot="1">
      <c r="A26" s="743">
        <v>16</v>
      </c>
      <c r="B26" s="1625" t="s">
        <v>942</v>
      </c>
      <c r="C26" s="1626"/>
      <c r="D26" s="1626"/>
      <c r="E26" s="1626"/>
      <c r="F26" s="740"/>
      <c r="G26" s="741">
        <v>497293</v>
      </c>
      <c r="H26" s="740"/>
      <c r="I26" s="740"/>
      <c r="J26" s="740"/>
      <c r="K26" s="740"/>
      <c r="L26" s="740"/>
      <c r="M26" s="740"/>
    </row>
    <row r="27" spans="6:13" ht="12.75">
      <c r="F27" s="739"/>
      <c r="G27" s="739"/>
      <c r="H27" s="739"/>
      <c r="I27" s="739"/>
      <c r="J27" s="739"/>
      <c r="K27" s="739"/>
      <c r="L27" s="739"/>
      <c r="M27" s="739"/>
    </row>
    <row r="28" spans="6:13" ht="12.75">
      <c r="F28" s="739"/>
      <c r="G28" s="739"/>
      <c r="H28" s="739"/>
      <c r="I28" s="739"/>
      <c r="J28" s="739"/>
      <c r="K28" s="739"/>
      <c r="L28" s="739"/>
      <c r="M28" s="739"/>
    </row>
    <row r="30" ht="12.75">
      <c r="G30" s="480"/>
    </row>
  </sheetData>
  <sheetProtection/>
  <mergeCells count="26">
    <mergeCell ref="L9:M9"/>
    <mergeCell ref="B15:E15"/>
    <mergeCell ref="L1:O1"/>
    <mergeCell ref="B3:O3"/>
    <mergeCell ref="B4:O4"/>
    <mergeCell ref="B14:E14"/>
    <mergeCell ref="B5:O5"/>
    <mergeCell ref="F11:G11"/>
    <mergeCell ref="H11:I11"/>
    <mergeCell ref="J11:K11"/>
    <mergeCell ref="L11:M11"/>
    <mergeCell ref="B22:E22"/>
    <mergeCell ref="B23:E23"/>
    <mergeCell ref="B24:E24"/>
    <mergeCell ref="B19:E19"/>
    <mergeCell ref="B20:E20"/>
    <mergeCell ref="B21:E21"/>
    <mergeCell ref="A10:A12"/>
    <mergeCell ref="B10:E10"/>
    <mergeCell ref="B25:E25"/>
    <mergeCell ref="B13:E13"/>
    <mergeCell ref="B26:E26"/>
    <mergeCell ref="B16:E16"/>
    <mergeCell ref="B17:E17"/>
    <mergeCell ref="B18:E18"/>
    <mergeCell ref="B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62"/>
  <sheetViews>
    <sheetView zoomScale="125" zoomScaleNormal="125" zoomScaleSheetLayoutView="100" zoomScalePageLayoutView="0" workbookViewId="0" topLeftCell="A33">
      <selection activeCell="C33" sqref="C33"/>
    </sheetView>
  </sheetViews>
  <sheetFormatPr defaultColWidth="9.140625" defaultRowHeight="12.75"/>
  <cols>
    <col min="1" max="1" width="6.00390625" style="0" customWidth="1"/>
    <col min="2" max="2" width="50.140625" style="0" customWidth="1"/>
    <col min="3" max="3" width="5.140625" style="0" customWidth="1"/>
    <col min="4" max="4" width="5.00390625" style="0" customWidth="1"/>
    <col min="5" max="5" width="7.8515625" style="0" customWidth="1"/>
    <col min="7" max="7" width="7.57421875" style="0" customWidth="1"/>
    <col min="8" max="8" width="10.421875" style="0" customWidth="1"/>
    <col min="9" max="9" width="8.28125" style="0" customWidth="1"/>
    <col min="10" max="10" width="15.421875" style="0" customWidth="1"/>
    <col min="11" max="11" width="5.421875" style="0" customWidth="1"/>
    <col min="12" max="12" width="6.57421875" style="0" customWidth="1"/>
    <col min="14" max="14" width="9.28125" style="0" bestFit="1" customWidth="1"/>
  </cols>
  <sheetData>
    <row r="1" spans="8:11" ht="12.75">
      <c r="H1" s="1096"/>
      <c r="I1" s="1096"/>
      <c r="J1" s="1096"/>
      <c r="K1" s="1096"/>
    </row>
    <row r="2" ht="12.75">
      <c r="J2" s="154" t="s">
        <v>227</v>
      </c>
    </row>
    <row r="5" spans="1:11" ht="12.75">
      <c r="A5" s="1097" t="s">
        <v>988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</row>
    <row r="6" spans="1:11" ht="15.75" customHeight="1">
      <c r="A6" s="1097" t="s">
        <v>1002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</row>
    <row r="7" spans="1:1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ht="12.75">
      <c r="J8" s="787"/>
    </row>
    <row r="9" ht="13.5" thickBot="1">
      <c r="J9" s="787" t="s">
        <v>1001</v>
      </c>
    </row>
    <row r="10" spans="1:11" ht="13.5" thickBot="1">
      <c r="A10" s="1110"/>
      <c r="B10" s="103" t="s">
        <v>41</v>
      </c>
      <c r="C10" s="1107" t="s">
        <v>27</v>
      </c>
      <c r="D10" s="1109"/>
      <c r="E10" s="43" t="s">
        <v>28</v>
      </c>
      <c r="F10" s="1107" t="s">
        <v>29</v>
      </c>
      <c r="G10" s="1109"/>
      <c r="H10" s="43" t="s">
        <v>30</v>
      </c>
      <c r="I10" s="43" t="s">
        <v>439</v>
      </c>
      <c r="J10" s="1107" t="s">
        <v>438</v>
      </c>
      <c r="K10" s="1109"/>
    </row>
    <row r="11" spans="1:11" ht="12.75">
      <c r="A11" s="1111"/>
      <c r="C11" s="1647" t="s">
        <v>986</v>
      </c>
      <c r="D11" s="1655"/>
      <c r="E11" s="1646" t="s">
        <v>983</v>
      </c>
      <c r="F11" s="1647" t="s">
        <v>985</v>
      </c>
      <c r="G11" s="1648"/>
      <c r="H11" s="1658" t="s">
        <v>984</v>
      </c>
      <c r="I11" s="1658" t="s">
        <v>983</v>
      </c>
      <c r="J11" s="1647" t="s">
        <v>982</v>
      </c>
      <c r="K11" s="1661"/>
    </row>
    <row r="12" spans="1:11" ht="12.75">
      <c r="A12" s="1111"/>
      <c r="B12" s="786"/>
      <c r="C12" s="1649"/>
      <c r="D12" s="1656"/>
      <c r="E12" s="1249"/>
      <c r="F12" s="1649"/>
      <c r="G12" s="1248"/>
      <c r="H12" s="1659"/>
      <c r="I12" s="1659"/>
      <c r="J12" s="1649"/>
      <c r="K12" s="1662"/>
    </row>
    <row r="13" spans="1:11" ht="12.75">
      <c r="A13" s="1111"/>
      <c r="B13" s="786" t="s">
        <v>738</v>
      </c>
      <c r="C13" s="1649"/>
      <c r="D13" s="1656"/>
      <c r="E13" s="1249"/>
      <c r="F13" s="1649"/>
      <c r="G13" s="1248"/>
      <c r="H13" s="1659"/>
      <c r="I13" s="1659"/>
      <c r="J13" s="1649"/>
      <c r="K13" s="1662"/>
    </row>
    <row r="14" spans="1:11" ht="12.75">
      <c r="A14" s="1111"/>
      <c r="B14" s="786"/>
      <c r="C14" s="1649"/>
      <c r="D14" s="1656"/>
      <c r="E14" s="1249"/>
      <c r="F14" s="1649"/>
      <c r="G14" s="1248"/>
      <c r="H14" s="1659"/>
      <c r="I14" s="1659"/>
      <c r="J14" s="1649"/>
      <c r="K14" s="1662"/>
    </row>
    <row r="15" spans="1:11" ht="12.75" customHeight="1" thickBot="1">
      <c r="A15" s="1667"/>
      <c r="B15" s="785"/>
      <c r="C15" s="1650"/>
      <c r="D15" s="1657"/>
      <c r="E15" s="1414"/>
      <c r="F15" s="1650"/>
      <c r="G15" s="1651"/>
      <c r="H15" s="1660"/>
      <c r="I15" s="1660"/>
      <c r="J15" s="1650"/>
      <c r="K15" s="1663"/>
    </row>
    <row r="16" spans="1:11" s="759" customFormat="1" ht="12.75">
      <c r="A16" s="305">
        <v>1</v>
      </c>
      <c r="B16" s="771" t="s">
        <v>1000</v>
      </c>
      <c r="C16" s="1638">
        <f>C17+C18+C19+C20</f>
        <v>2382430</v>
      </c>
      <c r="D16" s="1638"/>
      <c r="E16" s="770"/>
      <c r="F16" s="1665">
        <f>F17+F18+F19+F20</f>
        <v>2382430</v>
      </c>
      <c r="G16" s="1666"/>
      <c r="H16" s="770">
        <f>H17+H18+H19+H20</f>
        <v>2371449</v>
      </c>
      <c r="I16" s="770"/>
      <c r="J16" s="784">
        <f>J17+J18+J19+J20</f>
        <v>2371449</v>
      </c>
      <c r="K16" s="769"/>
    </row>
    <row r="17" spans="1:11" s="488" customFormat="1" ht="12.75">
      <c r="A17" s="305">
        <v>2</v>
      </c>
      <c r="B17" s="768" t="s">
        <v>999</v>
      </c>
      <c r="C17" s="1652">
        <v>2849</v>
      </c>
      <c r="D17" s="1653"/>
      <c r="E17" s="765">
        <v>0</v>
      </c>
      <c r="F17" s="1652">
        <v>2849</v>
      </c>
      <c r="G17" s="1653"/>
      <c r="H17" s="766">
        <v>4972</v>
      </c>
      <c r="I17" s="748">
        <v>0</v>
      </c>
      <c r="J17" s="766">
        <v>4972</v>
      </c>
      <c r="K17" s="764"/>
    </row>
    <row r="18" spans="1:11" s="488" customFormat="1" ht="12.75">
      <c r="A18" s="305">
        <v>3</v>
      </c>
      <c r="B18" s="768" t="s">
        <v>998</v>
      </c>
      <c r="C18" s="1652">
        <v>1419158</v>
      </c>
      <c r="D18" s="1653"/>
      <c r="E18" s="765">
        <v>0</v>
      </c>
      <c r="F18" s="1652">
        <v>1419158</v>
      </c>
      <c r="G18" s="1653"/>
      <c r="H18" s="766">
        <v>1416762</v>
      </c>
      <c r="I18" s="748">
        <v>0</v>
      </c>
      <c r="J18" s="766">
        <v>1416762</v>
      </c>
      <c r="K18" s="764"/>
    </row>
    <row r="19" spans="1:11" s="488" customFormat="1" ht="12.75">
      <c r="A19" s="305">
        <v>4</v>
      </c>
      <c r="B19" s="768" t="s">
        <v>997</v>
      </c>
      <c r="C19" s="1652">
        <v>518381</v>
      </c>
      <c r="D19" s="1653"/>
      <c r="E19" s="765">
        <v>0</v>
      </c>
      <c r="F19" s="1652">
        <v>518381</v>
      </c>
      <c r="G19" s="1653"/>
      <c r="H19" s="766">
        <v>519164</v>
      </c>
      <c r="I19" s="748">
        <v>0</v>
      </c>
      <c r="J19" s="766">
        <v>519164</v>
      </c>
      <c r="K19" s="764"/>
    </row>
    <row r="20" spans="1:11" s="488" customFormat="1" ht="12.75">
      <c r="A20" s="305">
        <v>5</v>
      </c>
      <c r="B20" s="768" t="s">
        <v>996</v>
      </c>
      <c r="C20" s="1652">
        <v>442042</v>
      </c>
      <c r="D20" s="1653"/>
      <c r="E20" s="765">
        <v>0</v>
      </c>
      <c r="F20" s="1652">
        <v>442042</v>
      </c>
      <c r="G20" s="1653"/>
      <c r="H20" s="766">
        <v>430551</v>
      </c>
      <c r="I20" s="748">
        <v>0</v>
      </c>
      <c r="J20" s="766">
        <v>430551</v>
      </c>
      <c r="K20" s="764"/>
    </row>
    <row r="21" spans="1:11" s="759" customFormat="1" ht="12.75">
      <c r="A21" s="305">
        <v>6</v>
      </c>
      <c r="B21" s="771" t="s">
        <v>995</v>
      </c>
      <c r="C21" s="1638">
        <f>C22+C23+C24+C25+C26</f>
        <v>540425</v>
      </c>
      <c r="D21" s="1638"/>
      <c r="E21" s="770"/>
      <c r="F21" s="1638">
        <f>F22+F23+F24+F25+F26</f>
        <v>540425</v>
      </c>
      <c r="G21" s="1638"/>
      <c r="H21" s="784">
        <f>H22+H23+H24+H25+H26</f>
        <v>561782</v>
      </c>
      <c r="I21" s="753"/>
      <c r="J21" s="784">
        <f>J22+J23+J24+J25+J26</f>
        <v>561782</v>
      </c>
      <c r="K21" s="769"/>
    </row>
    <row r="22" spans="1:11" s="488" customFormat="1" ht="12.75">
      <c r="A22" s="305">
        <v>7</v>
      </c>
      <c r="B22" s="768" t="s">
        <v>994</v>
      </c>
      <c r="C22" s="1628">
        <v>0</v>
      </c>
      <c r="D22" s="1628"/>
      <c r="E22" s="765">
        <v>0</v>
      </c>
      <c r="F22" s="1628">
        <v>0</v>
      </c>
      <c r="G22" s="1628"/>
      <c r="H22" s="766">
        <v>0</v>
      </c>
      <c r="I22" s="748"/>
      <c r="J22" s="766">
        <v>0</v>
      </c>
      <c r="K22" s="764"/>
    </row>
    <row r="23" spans="1:11" s="488" customFormat="1" ht="12.75">
      <c r="A23" s="305">
        <v>8</v>
      </c>
      <c r="B23" s="768" t="s">
        <v>993</v>
      </c>
      <c r="C23" s="1637">
        <v>16307</v>
      </c>
      <c r="D23" s="1637"/>
      <c r="E23" s="765">
        <v>0</v>
      </c>
      <c r="F23" s="1637">
        <v>16307</v>
      </c>
      <c r="G23" s="1637"/>
      <c r="H23" s="766">
        <v>27546</v>
      </c>
      <c r="I23" s="748">
        <v>0</v>
      </c>
      <c r="J23" s="766">
        <v>27546</v>
      </c>
      <c r="K23" s="764"/>
    </row>
    <row r="24" spans="1:13" s="488" customFormat="1" ht="12.75">
      <c r="A24" s="305">
        <v>9</v>
      </c>
      <c r="B24" s="768" t="s">
        <v>992</v>
      </c>
      <c r="C24" s="1628">
        <v>0</v>
      </c>
      <c r="D24" s="1628"/>
      <c r="E24" s="765">
        <v>0</v>
      </c>
      <c r="F24" s="1628">
        <v>0</v>
      </c>
      <c r="G24" s="1628"/>
      <c r="H24" s="766">
        <v>0</v>
      </c>
      <c r="I24" s="748">
        <v>0</v>
      </c>
      <c r="J24" s="766">
        <v>0</v>
      </c>
      <c r="K24" s="764"/>
      <c r="M24" s="779"/>
    </row>
    <row r="25" spans="1:11" s="488" customFormat="1" ht="12.75">
      <c r="A25" s="305">
        <v>10</v>
      </c>
      <c r="B25" s="768" t="s">
        <v>991</v>
      </c>
      <c r="C25" s="1637">
        <v>512739</v>
      </c>
      <c r="D25" s="1637"/>
      <c r="E25" s="765">
        <v>0</v>
      </c>
      <c r="F25" s="1637">
        <v>512739</v>
      </c>
      <c r="G25" s="1637"/>
      <c r="H25" s="766">
        <v>524028</v>
      </c>
      <c r="I25" s="748">
        <v>0</v>
      </c>
      <c r="J25" s="766">
        <v>524028</v>
      </c>
      <c r="K25" s="764"/>
    </row>
    <row r="26" spans="1:11" s="488" customFormat="1" ht="12.75">
      <c r="A26" s="305">
        <v>11</v>
      </c>
      <c r="B26" s="768" t="s">
        <v>990</v>
      </c>
      <c r="C26" s="1637">
        <v>11379</v>
      </c>
      <c r="D26" s="1637"/>
      <c r="E26" s="765">
        <v>0</v>
      </c>
      <c r="F26" s="1637">
        <v>11379</v>
      </c>
      <c r="G26" s="1637"/>
      <c r="H26" s="766">
        <v>10208</v>
      </c>
      <c r="I26" s="748">
        <v>0</v>
      </c>
      <c r="J26" s="766">
        <v>10208</v>
      </c>
      <c r="K26" s="764"/>
    </row>
    <row r="27" spans="1:11" s="759" customFormat="1" ht="12.75">
      <c r="A27" s="305">
        <v>12</v>
      </c>
      <c r="B27" s="771" t="s">
        <v>989</v>
      </c>
      <c r="C27" s="1638">
        <f>C17+C18+C19+C20+C22+C23+C24+C25+C26</f>
        <v>2922855</v>
      </c>
      <c r="D27" s="1638"/>
      <c r="E27" s="770">
        <v>0</v>
      </c>
      <c r="F27" s="1638">
        <f>F16+F21</f>
        <v>2922855</v>
      </c>
      <c r="G27" s="1638"/>
      <c r="H27" s="784">
        <f>H16+H21</f>
        <v>2933231</v>
      </c>
      <c r="I27" s="753">
        <v>0</v>
      </c>
      <c r="J27" s="784">
        <f>J16+J21</f>
        <v>2933231</v>
      </c>
      <c r="K27" s="769"/>
    </row>
    <row r="28" spans="1:3" s="488" customFormat="1" ht="12.75">
      <c r="A28" s="782"/>
      <c r="B28" s="782"/>
      <c r="C28" s="782"/>
    </row>
    <row r="29" spans="1:3" s="488" customFormat="1" ht="12.75">
      <c r="A29" s="782"/>
      <c r="B29" s="782"/>
      <c r="C29" s="782"/>
    </row>
    <row r="30" spans="1:3" s="488" customFormat="1" ht="12.75">
      <c r="A30" s="782"/>
      <c r="B30" s="782"/>
      <c r="C30" s="782"/>
    </row>
    <row r="31" spans="1:3" s="488" customFormat="1" ht="12.75">
      <c r="A31" s="782"/>
      <c r="B31" s="782"/>
      <c r="C31" s="782"/>
    </row>
    <row r="32" spans="1:3" s="488" customFormat="1" ht="12.75">
      <c r="A32" s="782"/>
      <c r="B32" s="782"/>
      <c r="C32" s="782"/>
    </row>
    <row r="33" spans="1:3" s="488" customFormat="1" ht="12.75">
      <c r="A33" s="782"/>
      <c r="B33" s="782"/>
      <c r="C33" s="782"/>
    </row>
    <row r="34" spans="1:3" s="488" customFormat="1" ht="12.75">
      <c r="A34" s="782"/>
      <c r="B34" s="782"/>
      <c r="C34" s="782"/>
    </row>
    <row r="35" spans="1:3" s="488" customFormat="1" ht="12.75">
      <c r="A35" s="782"/>
      <c r="B35" s="782"/>
      <c r="C35" s="782"/>
    </row>
    <row r="36" spans="1:8" s="488" customFormat="1" ht="12.75">
      <c r="A36" s="782"/>
      <c r="B36" s="782"/>
      <c r="C36" s="781"/>
      <c r="D36" s="779"/>
      <c r="H36" s="779"/>
    </row>
    <row r="37" spans="1:11" s="488" customFormat="1" ht="12.75">
      <c r="A37" s="782"/>
      <c r="B37" s="782"/>
      <c r="C37" s="781"/>
      <c r="D37" s="779"/>
      <c r="H37" s="779"/>
      <c r="J37" s="783" t="s">
        <v>406</v>
      </c>
      <c r="K37" s="780"/>
    </row>
    <row r="38" spans="1:9" s="488" customFormat="1" ht="12.75">
      <c r="A38" s="782"/>
      <c r="B38" s="1639" t="s">
        <v>988</v>
      </c>
      <c r="C38" s="1639"/>
      <c r="D38" s="1639"/>
      <c r="E38" s="1639"/>
      <c r="F38" s="1639"/>
      <c r="G38" s="1639"/>
      <c r="H38" s="1639"/>
      <c r="I38" s="1639"/>
    </row>
    <row r="39" spans="1:9" s="488" customFormat="1" ht="12.75">
      <c r="A39" s="782"/>
      <c r="B39" s="1639" t="s">
        <v>987</v>
      </c>
      <c r="C39" s="1639"/>
      <c r="D39" s="1639"/>
      <c r="E39" s="1639"/>
      <c r="F39" s="1639"/>
      <c r="G39" s="1639"/>
      <c r="H39" s="1639"/>
      <c r="I39" s="1639"/>
    </row>
    <row r="40" spans="1:10" s="488" customFormat="1" ht="12.75">
      <c r="A40" s="782"/>
      <c r="B40" s="782"/>
      <c r="C40" s="781"/>
      <c r="D40" s="779"/>
      <c r="H40" s="779"/>
      <c r="I40" s="1639"/>
      <c r="J40" s="1639"/>
    </row>
    <row r="41" s="488" customFormat="1" ht="13.5" thickBot="1">
      <c r="H41" s="779"/>
    </row>
    <row r="42" spans="1:11" s="777" customFormat="1" ht="13.5" thickBot="1">
      <c r="A42" s="778"/>
      <c r="B42" s="43" t="s">
        <v>41</v>
      </c>
      <c r="C42" s="1107" t="s">
        <v>27</v>
      </c>
      <c r="D42" s="1109"/>
      <c r="E42" s="43" t="s">
        <v>28</v>
      </c>
      <c r="F42" s="1107" t="s">
        <v>29</v>
      </c>
      <c r="G42" s="1109"/>
      <c r="H42" s="43" t="s">
        <v>30</v>
      </c>
      <c r="I42" s="43" t="s">
        <v>439</v>
      </c>
      <c r="J42" s="1107" t="s">
        <v>438</v>
      </c>
      <c r="K42" s="1109"/>
    </row>
    <row r="43" spans="1:11" s="488" customFormat="1" ht="12.75">
      <c r="A43" s="1664"/>
      <c r="B43" s="776"/>
      <c r="C43" s="1640" t="s">
        <v>986</v>
      </c>
      <c r="D43" s="1640"/>
      <c r="E43" s="1640" t="s">
        <v>983</v>
      </c>
      <c r="F43" s="1640" t="s">
        <v>985</v>
      </c>
      <c r="G43" s="1640"/>
      <c r="H43" s="1640" t="s">
        <v>984</v>
      </c>
      <c r="I43" s="1640" t="s">
        <v>983</v>
      </c>
      <c r="J43" s="1640" t="s">
        <v>982</v>
      </c>
      <c r="K43" s="1643"/>
    </row>
    <row r="44" spans="1:11" s="488" customFormat="1" ht="12.75">
      <c r="A44" s="1664"/>
      <c r="B44" s="775"/>
      <c r="C44" s="1641"/>
      <c r="D44" s="1641"/>
      <c r="E44" s="1641"/>
      <c r="F44" s="1641"/>
      <c r="G44" s="1641"/>
      <c r="H44" s="1641"/>
      <c r="I44" s="1641"/>
      <c r="J44" s="1641"/>
      <c r="K44" s="1644"/>
    </row>
    <row r="45" spans="1:11" s="488" customFormat="1" ht="12.75">
      <c r="A45" s="1664"/>
      <c r="B45" s="774" t="s">
        <v>717</v>
      </c>
      <c r="C45" s="1641"/>
      <c r="D45" s="1641"/>
      <c r="E45" s="1641"/>
      <c r="F45" s="1641"/>
      <c r="G45" s="1641"/>
      <c r="H45" s="1641"/>
      <c r="I45" s="1641"/>
      <c r="J45" s="1641"/>
      <c r="K45" s="1644"/>
    </row>
    <row r="46" spans="1:11" s="488" customFormat="1" ht="12.75">
      <c r="A46" s="1664"/>
      <c r="B46" s="773"/>
      <c r="C46" s="1641"/>
      <c r="D46" s="1641"/>
      <c r="E46" s="1641"/>
      <c r="F46" s="1641"/>
      <c r="G46" s="1641"/>
      <c r="H46" s="1641"/>
      <c r="I46" s="1641"/>
      <c r="J46" s="1641"/>
      <c r="K46" s="1644"/>
    </row>
    <row r="47" spans="1:11" s="488" customFormat="1" ht="13.5" thickBot="1">
      <c r="A47" s="1664"/>
      <c r="B47" s="772"/>
      <c r="C47" s="1642"/>
      <c r="D47" s="1642"/>
      <c r="E47" s="1642"/>
      <c r="F47" s="1642"/>
      <c r="G47" s="1642"/>
      <c r="H47" s="1642"/>
      <c r="I47" s="1642"/>
      <c r="J47" s="1642"/>
      <c r="K47" s="1645"/>
    </row>
    <row r="48" spans="1:11" s="759" customFormat="1" ht="12.75">
      <c r="A48" s="305">
        <v>13</v>
      </c>
      <c r="B48" s="771" t="s">
        <v>981</v>
      </c>
      <c r="C48" s="1638">
        <f>C49+C50</f>
        <v>1839136</v>
      </c>
      <c r="D48" s="1638"/>
      <c r="E48" s="770"/>
      <c r="F48" s="1638">
        <f>F49+F50</f>
        <v>1839136</v>
      </c>
      <c r="G48" s="1638"/>
      <c r="H48" s="770">
        <f>H49+H50</f>
        <v>1869058</v>
      </c>
      <c r="I48" s="770"/>
      <c r="J48" s="770">
        <f>J49+J50</f>
        <v>1869058</v>
      </c>
      <c r="K48" s="769"/>
    </row>
    <row r="49" spans="1:11" s="488" customFormat="1" ht="12.75">
      <c r="A49" s="305">
        <v>14</v>
      </c>
      <c r="B49" s="768" t="s">
        <v>980</v>
      </c>
      <c r="C49" s="1637">
        <v>40962</v>
      </c>
      <c r="D49" s="1637"/>
      <c r="E49" s="765">
        <v>0</v>
      </c>
      <c r="F49" s="1637">
        <v>40962</v>
      </c>
      <c r="G49" s="1637"/>
      <c r="H49" s="765">
        <v>40962</v>
      </c>
      <c r="I49" s="748">
        <v>0</v>
      </c>
      <c r="J49" s="765">
        <v>40962</v>
      </c>
      <c r="K49" s="764"/>
    </row>
    <row r="50" spans="1:11" s="488" customFormat="1" ht="12.75">
      <c r="A50" s="305">
        <v>15</v>
      </c>
      <c r="B50" s="768" t="s">
        <v>979</v>
      </c>
      <c r="C50" s="1637">
        <v>1798174</v>
      </c>
      <c r="D50" s="1637"/>
      <c r="E50" s="765">
        <v>0</v>
      </c>
      <c r="F50" s="1637">
        <v>1798174</v>
      </c>
      <c r="G50" s="1637"/>
      <c r="H50" s="765">
        <v>1828096</v>
      </c>
      <c r="I50" s="748">
        <v>0</v>
      </c>
      <c r="J50" s="765">
        <v>1828096</v>
      </c>
      <c r="K50" s="764"/>
    </row>
    <row r="51" spans="1:11" s="488" customFormat="1" ht="12.75">
      <c r="A51" s="305">
        <v>16</v>
      </c>
      <c r="B51" s="768" t="s">
        <v>978</v>
      </c>
      <c r="C51" s="1637"/>
      <c r="D51" s="1637"/>
      <c r="E51" s="765"/>
      <c r="F51" s="1637"/>
      <c r="G51" s="1637"/>
      <c r="H51" s="748"/>
      <c r="I51" s="748"/>
      <c r="J51" s="748"/>
      <c r="K51" s="764"/>
    </row>
    <row r="52" spans="1:11" s="759" customFormat="1" ht="12.75">
      <c r="A52" s="305">
        <v>17</v>
      </c>
      <c r="B52" s="771" t="s">
        <v>977</v>
      </c>
      <c r="C52" s="1638">
        <f>C53+C54</f>
        <v>491666</v>
      </c>
      <c r="D52" s="1638"/>
      <c r="E52" s="770"/>
      <c r="F52" s="1638">
        <f>F53+F54</f>
        <v>491666</v>
      </c>
      <c r="G52" s="1638"/>
      <c r="H52" s="770">
        <f>H53+H54</f>
        <v>494085</v>
      </c>
      <c r="I52" s="770"/>
      <c r="J52" s="770">
        <f>J53+J54</f>
        <v>494085</v>
      </c>
      <c r="K52" s="769"/>
    </row>
    <row r="53" spans="1:11" s="488" customFormat="1" ht="12.75">
      <c r="A53" s="305">
        <v>18</v>
      </c>
      <c r="B53" s="768" t="s">
        <v>976</v>
      </c>
      <c r="C53" s="1637">
        <v>491666</v>
      </c>
      <c r="D53" s="1637"/>
      <c r="E53" s="765">
        <v>0</v>
      </c>
      <c r="F53" s="1637">
        <v>491666</v>
      </c>
      <c r="G53" s="1637"/>
      <c r="H53" s="765">
        <v>494085</v>
      </c>
      <c r="I53" s="748">
        <v>0</v>
      </c>
      <c r="J53" s="765">
        <v>494085</v>
      </c>
      <c r="K53" s="764"/>
    </row>
    <row r="54" spans="1:11" s="488" customFormat="1" ht="12.75">
      <c r="A54" s="305">
        <v>19</v>
      </c>
      <c r="B54" s="768" t="s">
        <v>975</v>
      </c>
      <c r="C54" s="1637">
        <v>0</v>
      </c>
      <c r="D54" s="1637"/>
      <c r="E54" s="765">
        <v>0</v>
      </c>
      <c r="F54" s="1637">
        <v>0</v>
      </c>
      <c r="G54" s="1637"/>
      <c r="H54" s="748">
        <v>0</v>
      </c>
      <c r="I54" s="748">
        <v>0</v>
      </c>
      <c r="J54" s="748">
        <v>0</v>
      </c>
      <c r="K54" s="764"/>
    </row>
    <row r="55" spans="1:11" s="759" customFormat="1" ht="12.75">
      <c r="A55" s="305">
        <v>20</v>
      </c>
      <c r="B55" s="771" t="s">
        <v>974</v>
      </c>
      <c r="C55" s="1638">
        <f>C56+C57+C58</f>
        <v>592053</v>
      </c>
      <c r="D55" s="1638"/>
      <c r="E55" s="770"/>
      <c r="F55" s="1638">
        <f>F56+F57+F58</f>
        <v>592053</v>
      </c>
      <c r="G55" s="1638"/>
      <c r="H55" s="770">
        <f>H56+H57+H58</f>
        <v>570088</v>
      </c>
      <c r="I55" s="770"/>
      <c r="J55" s="770">
        <f>J56+J57+J58</f>
        <v>570088</v>
      </c>
      <c r="K55" s="769"/>
    </row>
    <row r="56" spans="1:11" s="488" customFormat="1" ht="12.75">
      <c r="A56" s="305">
        <v>21</v>
      </c>
      <c r="B56" s="768" t="s">
        <v>973</v>
      </c>
      <c r="C56" s="1637">
        <v>518840</v>
      </c>
      <c r="D56" s="1637"/>
      <c r="E56" s="765">
        <v>0</v>
      </c>
      <c r="F56" s="1637">
        <v>518840</v>
      </c>
      <c r="G56" s="1637"/>
      <c r="H56" s="748">
        <v>517680</v>
      </c>
      <c r="I56" s="748">
        <v>0</v>
      </c>
      <c r="J56" s="748">
        <v>517680</v>
      </c>
      <c r="K56" s="764"/>
    </row>
    <row r="57" spans="1:11" s="488" customFormat="1" ht="12.75">
      <c r="A57" s="305">
        <v>22</v>
      </c>
      <c r="B57" s="768" t="s">
        <v>972</v>
      </c>
      <c r="C57" s="1637">
        <v>40761</v>
      </c>
      <c r="D57" s="1637"/>
      <c r="E57" s="765">
        <v>0</v>
      </c>
      <c r="F57" s="1637">
        <v>40761</v>
      </c>
      <c r="G57" s="1637"/>
      <c r="H57" s="765">
        <v>12256</v>
      </c>
      <c r="I57" s="748">
        <v>0</v>
      </c>
      <c r="J57" s="765">
        <v>12256</v>
      </c>
      <c r="K57" s="764"/>
    </row>
    <row r="58" spans="1:11" s="488" customFormat="1" ht="12.75">
      <c r="A58" s="305">
        <v>23</v>
      </c>
      <c r="B58" s="767" t="s">
        <v>971</v>
      </c>
      <c r="C58" s="1637">
        <v>32452</v>
      </c>
      <c r="D58" s="1637"/>
      <c r="E58" s="766">
        <v>0</v>
      </c>
      <c r="F58" s="1637">
        <v>32452</v>
      </c>
      <c r="G58" s="1637"/>
      <c r="H58" s="765">
        <v>40152</v>
      </c>
      <c r="I58" s="748">
        <v>0</v>
      </c>
      <c r="J58" s="765">
        <v>40152</v>
      </c>
      <c r="K58" s="764"/>
    </row>
    <row r="59" spans="1:11" s="759" customFormat="1" ht="13.5" thickBot="1">
      <c r="A59" s="305">
        <v>24</v>
      </c>
      <c r="B59" s="763" t="s">
        <v>970</v>
      </c>
      <c r="C59" s="1654">
        <f>C48+C52+C55</f>
        <v>2922855</v>
      </c>
      <c r="D59" s="1654"/>
      <c r="E59" s="761">
        <v>0</v>
      </c>
      <c r="F59" s="1654">
        <f>F48+F52+F55</f>
        <v>2922855</v>
      </c>
      <c r="G59" s="1654"/>
      <c r="H59" s="761">
        <f>H49+H50+H53+H54+H56+H57+H58</f>
        <v>2933231</v>
      </c>
      <c r="I59" s="762">
        <v>0</v>
      </c>
      <c r="J59" s="761">
        <f>J48+J52+J55</f>
        <v>2933231</v>
      </c>
      <c r="K59" s="760"/>
    </row>
    <row r="60" s="488" customFormat="1" ht="12.75"/>
    <row r="62" ht="12.75">
      <c r="K62" s="112"/>
    </row>
  </sheetData>
  <sheetProtection/>
  <mergeCells count="74">
    <mergeCell ref="J42:K42"/>
    <mergeCell ref="C27:D27"/>
    <mergeCell ref="C21:D21"/>
    <mergeCell ref="C23:D23"/>
    <mergeCell ref="A10:A15"/>
    <mergeCell ref="F25:G25"/>
    <mergeCell ref="F21:G21"/>
    <mergeCell ref="F22:G22"/>
    <mergeCell ref="C10:D10"/>
    <mergeCell ref="C22:D22"/>
    <mergeCell ref="A43:A47"/>
    <mergeCell ref="C42:D42"/>
    <mergeCell ref="C56:D56"/>
    <mergeCell ref="C58:D58"/>
    <mergeCell ref="C57:D57"/>
    <mergeCell ref="F16:G16"/>
    <mergeCell ref="F23:G23"/>
    <mergeCell ref="C25:D25"/>
    <mergeCell ref="C48:D48"/>
    <mergeCell ref="C16:D16"/>
    <mergeCell ref="C51:D51"/>
    <mergeCell ref="C50:D50"/>
    <mergeCell ref="C49:D49"/>
    <mergeCell ref="C59:D59"/>
    <mergeCell ref="C52:D52"/>
    <mergeCell ref="C53:D53"/>
    <mergeCell ref="C54:D54"/>
    <mergeCell ref="C55:D55"/>
    <mergeCell ref="C17:D17"/>
    <mergeCell ref="C18:D18"/>
    <mergeCell ref="C20:D20"/>
    <mergeCell ref="C19:D19"/>
    <mergeCell ref="H43:H47"/>
    <mergeCell ref="C26:D26"/>
    <mergeCell ref="F19:G19"/>
    <mergeCell ref="C24:D24"/>
    <mergeCell ref="F43:G47"/>
    <mergeCell ref="F27:G27"/>
    <mergeCell ref="F26:G26"/>
    <mergeCell ref="B38:I38"/>
    <mergeCell ref="B39:I39"/>
    <mergeCell ref="C43:D47"/>
    <mergeCell ref="E43:E47"/>
    <mergeCell ref="F42:G42"/>
    <mergeCell ref="H1:K1"/>
    <mergeCell ref="A5:K5"/>
    <mergeCell ref="A6:K6"/>
    <mergeCell ref="C11:D15"/>
    <mergeCell ref="F24:G24"/>
    <mergeCell ref="J10:K10"/>
    <mergeCell ref="F18:G18"/>
    <mergeCell ref="H11:H15"/>
    <mergeCell ref="I11:I15"/>
    <mergeCell ref="J11:K15"/>
    <mergeCell ref="F10:G10"/>
    <mergeCell ref="E11:E15"/>
    <mergeCell ref="F11:G15"/>
    <mergeCell ref="F20:G20"/>
    <mergeCell ref="F17:G17"/>
    <mergeCell ref="F59:G59"/>
    <mergeCell ref="F55:G55"/>
    <mergeCell ref="F57:G57"/>
    <mergeCell ref="F58:G58"/>
    <mergeCell ref="F49:G49"/>
    <mergeCell ref="F50:G50"/>
    <mergeCell ref="F52:G52"/>
    <mergeCell ref="F54:G54"/>
    <mergeCell ref="I40:J40"/>
    <mergeCell ref="F56:G56"/>
    <mergeCell ref="F53:G53"/>
    <mergeCell ref="F48:G48"/>
    <mergeCell ref="I43:I47"/>
    <mergeCell ref="J43:K47"/>
    <mergeCell ref="F51:G5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4"/>
  <sheetViews>
    <sheetView zoomScale="150" zoomScaleNormal="150" zoomScalePageLayoutView="0" workbookViewId="0" topLeftCell="A34">
      <selection activeCell="E47" sqref="E47"/>
    </sheetView>
  </sheetViews>
  <sheetFormatPr defaultColWidth="9.140625" defaultRowHeight="12.75"/>
  <cols>
    <col min="1" max="1" width="4.00390625" style="0" customWidth="1"/>
    <col min="6" max="6" width="14.28125" style="0" customWidth="1"/>
    <col min="7" max="7" width="9.28125" style="0" bestFit="1" customWidth="1"/>
    <col min="8" max="8" width="9.421875" style="0" customWidth="1"/>
    <col min="9" max="9" width="9.28125" style="0" bestFit="1" customWidth="1"/>
  </cols>
  <sheetData>
    <row r="1" spans="6:9" ht="12.75">
      <c r="F1" s="1096"/>
      <c r="G1" s="1096"/>
      <c r="H1" s="1096"/>
      <c r="I1" s="1096"/>
    </row>
    <row r="5" spans="1:9" ht="12.75">
      <c r="A5" s="1097" t="s">
        <v>1038</v>
      </c>
      <c r="B5" s="1097"/>
      <c r="C5" s="1097"/>
      <c r="D5" s="1097"/>
      <c r="E5" s="1097"/>
      <c r="F5" s="1097"/>
      <c r="G5" s="1097"/>
      <c r="H5" s="1097"/>
      <c r="I5" s="1097"/>
    </row>
    <row r="6" spans="1:9" ht="36" customHeight="1">
      <c r="A6" s="1189" t="s">
        <v>1037</v>
      </c>
      <c r="B6" s="1189"/>
      <c r="C6" s="1189"/>
      <c r="D6" s="1189"/>
      <c r="E6" s="1189"/>
      <c r="F6" s="1189"/>
      <c r="G6" s="1189"/>
      <c r="H6" s="1189"/>
      <c r="I6" s="1189"/>
    </row>
    <row r="8" ht="12.75" hidden="1"/>
    <row r="9" ht="12.75" hidden="1"/>
    <row r="10" spans="8:9" ht="13.5" thickBot="1">
      <c r="H10" s="1381" t="s">
        <v>4</v>
      </c>
      <c r="I10" s="1381"/>
    </row>
    <row r="11" spans="1:9" ht="13.5" thickBot="1">
      <c r="A11" s="798"/>
      <c r="B11" s="1675" t="s">
        <v>41</v>
      </c>
      <c r="C11" s="1676"/>
      <c r="D11" s="1676"/>
      <c r="E11" s="1676"/>
      <c r="F11" s="1677"/>
      <c r="G11" s="797" t="s">
        <v>27</v>
      </c>
      <c r="H11" s="797" t="s">
        <v>28</v>
      </c>
      <c r="I11" s="797" t="s">
        <v>29</v>
      </c>
    </row>
    <row r="12" spans="1:10" ht="15">
      <c r="A12" s="1669" t="s">
        <v>471</v>
      </c>
      <c r="B12" s="1670" t="s">
        <v>7</v>
      </c>
      <c r="C12" s="1098"/>
      <c r="D12" s="1098"/>
      <c r="E12" s="1098"/>
      <c r="F12" s="1098"/>
      <c r="G12" s="1668" t="s">
        <v>0</v>
      </c>
      <c r="H12" s="1668" t="s">
        <v>1</v>
      </c>
      <c r="I12" s="1669" t="s">
        <v>2</v>
      </c>
      <c r="J12" s="192"/>
    </row>
    <row r="13" spans="1:10" ht="15">
      <c r="A13" s="1548"/>
      <c r="B13" s="1266"/>
      <c r="C13" s="1050"/>
      <c r="D13" s="1050"/>
      <c r="E13" s="1050"/>
      <c r="F13" s="1050"/>
      <c r="G13" s="1547"/>
      <c r="H13" s="1547"/>
      <c r="I13" s="1548"/>
      <c r="J13" s="192"/>
    </row>
    <row r="14" spans="1:10" ht="15">
      <c r="A14" s="172"/>
      <c r="B14" s="1266"/>
      <c r="C14" s="1050"/>
      <c r="D14" s="1050"/>
      <c r="E14" s="1050"/>
      <c r="F14" s="1050"/>
      <c r="G14" s="1547" t="s">
        <v>3</v>
      </c>
      <c r="H14" s="1547"/>
      <c r="I14" s="668"/>
      <c r="J14" s="192"/>
    </row>
    <row r="15" spans="1:10" ht="15">
      <c r="A15" s="258" t="s">
        <v>1036</v>
      </c>
      <c r="B15" s="1055" t="s">
        <v>430</v>
      </c>
      <c r="C15" s="1051"/>
      <c r="D15" s="1051"/>
      <c r="E15" s="1051"/>
      <c r="F15" s="1051"/>
      <c r="G15" s="119">
        <v>218164</v>
      </c>
      <c r="H15" s="119">
        <v>223960</v>
      </c>
      <c r="I15" s="172">
        <v>209767</v>
      </c>
      <c r="J15" s="192"/>
    </row>
    <row r="16" spans="1:10" ht="15">
      <c r="A16" s="258" t="s">
        <v>1035</v>
      </c>
      <c r="B16" s="1055" t="s">
        <v>1034</v>
      </c>
      <c r="C16" s="1051"/>
      <c r="D16" s="1051"/>
      <c r="E16" s="1051"/>
      <c r="F16" s="1051"/>
      <c r="G16" s="119">
        <v>69288</v>
      </c>
      <c r="H16" s="119">
        <v>70879</v>
      </c>
      <c r="I16" s="172">
        <v>62373</v>
      </c>
      <c r="J16" s="192"/>
    </row>
    <row r="17" spans="1:10" ht="15">
      <c r="A17" s="258" t="s">
        <v>1033</v>
      </c>
      <c r="B17" s="1055" t="s">
        <v>1032</v>
      </c>
      <c r="C17" s="1051"/>
      <c r="D17" s="1051"/>
      <c r="E17" s="1051"/>
      <c r="F17" s="1051"/>
      <c r="G17" s="119">
        <v>168694</v>
      </c>
      <c r="H17" s="119">
        <v>187192</v>
      </c>
      <c r="I17" s="172">
        <v>180778</v>
      </c>
      <c r="J17" s="192"/>
    </row>
    <row r="18" spans="1:10" ht="15">
      <c r="A18" s="258" t="s">
        <v>1031</v>
      </c>
      <c r="B18" s="1055" t="s">
        <v>1030</v>
      </c>
      <c r="C18" s="1051"/>
      <c r="D18" s="1051"/>
      <c r="E18" s="1051"/>
      <c r="F18" s="1051"/>
      <c r="G18" s="119">
        <f>18261+14235</f>
        <v>32496</v>
      </c>
      <c r="H18" s="119">
        <f>18158+14335</f>
        <v>32493</v>
      </c>
      <c r="I18" s="172">
        <f>17406+11026</f>
        <v>28432</v>
      </c>
      <c r="J18" s="192"/>
    </row>
    <row r="19" spans="1:10" ht="15">
      <c r="A19" s="258" t="s">
        <v>1029</v>
      </c>
      <c r="B19" s="1055" t="s">
        <v>468</v>
      </c>
      <c r="C19" s="1051"/>
      <c r="D19" s="1051"/>
      <c r="E19" s="1051"/>
      <c r="F19" s="1051"/>
      <c r="G19" s="119">
        <v>18838</v>
      </c>
      <c r="H19" s="119">
        <v>20445</v>
      </c>
      <c r="I19" s="172">
        <v>19453</v>
      </c>
      <c r="J19" s="192"/>
    </row>
    <row r="20" spans="1:10" ht="15">
      <c r="A20" s="258" t="s">
        <v>1028</v>
      </c>
      <c r="B20" s="1055" t="s">
        <v>351</v>
      </c>
      <c r="C20" s="1051"/>
      <c r="D20" s="1051"/>
      <c r="E20" s="1051"/>
      <c r="F20" s="1051"/>
      <c r="G20" s="119">
        <v>13790</v>
      </c>
      <c r="H20" s="119">
        <v>36290</v>
      </c>
      <c r="I20" s="172">
        <v>17839</v>
      </c>
      <c r="J20" s="192"/>
    </row>
    <row r="21" spans="1:10" ht="15">
      <c r="A21" s="258" t="s">
        <v>1027</v>
      </c>
      <c r="B21" s="1055" t="s">
        <v>1026</v>
      </c>
      <c r="C21" s="1051"/>
      <c r="D21" s="1051"/>
      <c r="E21" s="1051"/>
      <c r="F21" s="1051"/>
      <c r="G21" s="119">
        <f>470352-13790-3000</f>
        <v>453562</v>
      </c>
      <c r="H21" s="119">
        <f>510461-36290-3000</f>
        <v>471171</v>
      </c>
      <c r="I21" s="172">
        <f>58473-17839-1160-1600</f>
        <v>37874</v>
      </c>
      <c r="J21" s="192"/>
    </row>
    <row r="22" spans="1:10" ht="15">
      <c r="A22" s="258" t="s">
        <v>1025</v>
      </c>
      <c r="B22" s="1105" t="s">
        <v>1024</v>
      </c>
      <c r="C22" s="1106"/>
      <c r="D22" s="1106"/>
      <c r="E22" s="1106"/>
      <c r="F22" s="1106"/>
      <c r="G22" s="121">
        <f>SUM(G15:G21)</f>
        <v>974832</v>
      </c>
      <c r="H22" s="121">
        <f>SUM(H15:H21)</f>
        <v>1042430</v>
      </c>
      <c r="I22" s="567">
        <f>SUM(I15:I21)</f>
        <v>556516</v>
      </c>
      <c r="J22" s="192"/>
    </row>
    <row r="23" spans="1:10" ht="15">
      <c r="A23" s="258" t="s">
        <v>1023</v>
      </c>
      <c r="B23" s="1055" t="s">
        <v>1022</v>
      </c>
      <c r="C23" s="1051"/>
      <c r="D23" s="1051"/>
      <c r="E23" s="1051"/>
      <c r="F23" s="1051"/>
      <c r="G23" s="119">
        <v>3000</v>
      </c>
      <c r="H23" s="119">
        <v>3000</v>
      </c>
      <c r="I23" s="172">
        <f>1160+1600</f>
        <v>2760</v>
      </c>
      <c r="J23" s="192"/>
    </row>
    <row r="24" spans="1:10" ht="15">
      <c r="A24" s="258" t="s">
        <v>421</v>
      </c>
      <c r="B24" s="1055" t="s">
        <v>1021</v>
      </c>
      <c r="C24" s="1051"/>
      <c r="D24" s="1051"/>
      <c r="E24" s="1051"/>
      <c r="F24" s="1051"/>
      <c r="G24" s="119">
        <v>0</v>
      </c>
      <c r="H24" s="119">
        <v>0</v>
      </c>
      <c r="I24" s="172">
        <v>0</v>
      </c>
      <c r="J24" s="192"/>
    </row>
    <row r="25" spans="1:10" ht="15">
      <c r="A25" s="258" t="s">
        <v>420</v>
      </c>
      <c r="B25" s="1105" t="s">
        <v>1020</v>
      </c>
      <c r="C25" s="1106"/>
      <c r="D25" s="1106"/>
      <c r="E25" s="1106"/>
      <c r="F25" s="1106"/>
      <c r="G25" s="121">
        <f>SUM(G23:G24)</f>
        <v>3000</v>
      </c>
      <c r="H25" s="121">
        <f>SUM(H23:H24)</f>
        <v>3000</v>
      </c>
      <c r="I25" s="567">
        <f>SUM(I23:I24)</f>
        <v>2760</v>
      </c>
      <c r="J25" s="192"/>
    </row>
    <row r="26" spans="1:10" ht="15">
      <c r="A26" s="258" t="s">
        <v>419</v>
      </c>
      <c r="B26" s="1105" t="s">
        <v>1019</v>
      </c>
      <c r="C26" s="1106"/>
      <c r="D26" s="1106"/>
      <c r="E26" s="1106"/>
      <c r="F26" s="1106"/>
      <c r="G26" s="121">
        <f>G22+G25</f>
        <v>977832</v>
      </c>
      <c r="H26" s="121">
        <f>H22+H25</f>
        <v>1045430</v>
      </c>
      <c r="I26" s="567">
        <f>I22+I25</f>
        <v>559276</v>
      </c>
      <c r="J26" s="192"/>
    </row>
    <row r="27" spans="1:10" ht="15">
      <c r="A27" s="258" t="s">
        <v>418</v>
      </c>
      <c r="B27" s="1055" t="s">
        <v>1018</v>
      </c>
      <c r="C27" s="1051"/>
      <c r="D27" s="1051"/>
      <c r="E27" s="1051"/>
      <c r="F27" s="1051"/>
      <c r="G27" s="119">
        <v>0</v>
      </c>
      <c r="H27" s="119">
        <v>75153</v>
      </c>
      <c r="I27" s="172">
        <v>0</v>
      </c>
      <c r="J27" s="192"/>
    </row>
    <row r="28" spans="1:10" ht="15">
      <c r="A28" s="258" t="s">
        <v>389</v>
      </c>
      <c r="B28" s="1055" t="s">
        <v>1017</v>
      </c>
      <c r="C28" s="1051"/>
      <c r="D28" s="1051"/>
      <c r="E28" s="1051"/>
      <c r="F28" s="1051"/>
      <c r="G28" s="628">
        <v>0</v>
      </c>
      <c r="H28" s="628">
        <v>0</v>
      </c>
      <c r="I28" s="172">
        <v>-1171</v>
      </c>
      <c r="J28" s="192"/>
    </row>
    <row r="29" spans="1:10" ht="15.75" thickBot="1">
      <c r="A29" s="796" t="s">
        <v>388</v>
      </c>
      <c r="B29" s="1673" t="s">
        <v>1016</v>
      </c>
      <c r="C29" s="1674"/>
      <c r="D29" s="1674"/>
      <c r="E29" s="1674"/>
      <c r="F29" s="1674"/>
      <c r="G29" s="795">
        <f>G26+G27+G28</f>
        <v>977832</v>
      </c>
      <c r="H29" s="795">
        <f>H26+H27</f>
        <v>1120583</v>
      </c>
      <c r="I29" s="794">
        <f>I26+I28</f>
        <v>558105</v>
      </c>
      <c r="J29" s="192"/>
    </row>
    <row r="30" spans="1:10" ht="15">
      <c r="A30" s="374" t="s">
        <v>387</v>
      </c>
      <c r="B30" s="1343" t="s">
        <v>224</v>
      </c>
      <c r="C30" s="1344"/>
      <c r="D30" s="1344"/>
      <c r="E30" s="1344"/>
      <c r="F30" s="1344"/>
      <c r="G30" s="40">
        <v>73690</v>
      </c>
      <c r="H30" s="40">
        <v>77097</v>
      </c>
      <c r="I30" s="41">
        <v>85346</v>
      </c>
      <c r="J30" s="192"/>
    </row>
    <row r="31" spans="1:10" ht="15">
      <c r="A31" s="258" t="s">
        <v>530</v>
      </c>
      <c r="B31" s="1043" t="s">
        <v>1015</v>
      </c>
      <c r="C31" s="1051"/>
      <c r="D31" s="1051"/>
      <c r="E31" s="1051"/>
      <c r="F31" s="1051"/>
      <c r="G31" s="119">
        <v>258563</v>
      </c>
      <c r="H31" s="119">
        <v>249713</v>
      </c>
      <c r="I31" s="172">
        <v>205904</v>
      </c>
      <c r="J31" s="192"/>
    </row>
    <row r="32" spans="1:10" ht="15">
      <c r="A32" s="258" t="s">
        <v>386</v>
      </c>
      <c r="B32" s="1043" t="s">
        <v>261</v>
      </c>
      <c r="C32" s="1051"/>
      <c r="D32" s="1051"/>
      <c r="E32" s="1051"/>
      <c r="F32" s="1051"/>
      <c r="G32" s="119">
        <v>17117</v>
      </c>
      <c r="H32" s="119">
        <v>17117</v>
      </c>
      <c r="I32" s="172">
        <v>4560</v>
      </c>
      <c r="J32" s="192"/>
    </row>
    <row r="33" spans="1:10" ht="15">
      <c r="A33" s="258" t="s">
        <v>385</v>
      </c>
      <c r="B33" s="1043" t="s">
        <v>1014</v>
      </c>
      <c r="C33" s="1051"/>
      <c r="D33" s="1051"/>
      <c r="E33" s="1051"/>
      <c r="F33" s="1051"/>
      <c r="G33" s="119">
        <v>25199</v>
      </c>
      <c r="H33" s="119">
        <v>38489</v>
      </c>
      <c r="I33" s="172">
        <v>38763</v>
      </c>
      <c r="J33" s="192"/>
    </row>
    <row r="34" spans="1:10" ht="15">
      <c r="A34" s="258" t="s">
        <v>384</v>
      </c>
      <c r="B34" s="1043" t="s">
        <v>1013</v>
      </c>
      <c r="C34" s="1051"/>
      <c r="D34" s="1051"/>
      <c r="E34" s="1051"/>
      <c r="F34" s="1051"/>
      <c r="G34" s="119">
        <f>170529</f>
        <v>170529</v>
      </c>
      <c r="H34" s="119">
        <f>230419+13387</f>
        <v>243806</v>
      </c>
      <c r="I34" s="172">
        <f>210419+13387</f>
        <v>223806</v>
      </c>
      <c r="J34" s="192"/>
    </row>
    <row r="35" spans="1:10" ht="15">
      <c r="A35" s="258" t="s">
        <v>383</v>
      </c>
      <c r="B35" s="1043" t="s">
        <v>1012</v>
      </c>
      <c r="C35" s="1051"/>
      <c r="D35" s="1051"/>
      <c r="E35" s="1051"/>
      <c r="F35" s="1051"/>
      <c r="G35" s="119">
        <v>0</v>
      </c>
      <c r="H35" s="119">
        <v>0</v>
      </c>
      <c r="I35" s="172">
        <v>2599</v>
      </c>
      <c r="J35" s="192"/>
    </row>
    <row r="36" spans="1:10" ht="15">
      <c r="A36" s="258" t="s">
        <v>382</v>
      </c>
      <c r="B36" s="1080" t="s">
        <v>1011</v>
      </c>
      <c r="C36" s="1106"/>
      <c r="D36" s="1106"/>
      <c r="E36" s="1106"/>
      <c r="F36" s="1106"/>
      <c r="G36" s="121">
        <f>SUM(G30:G35)</f>
        <v>545098</v>
      </c>
      <c r="H36" s="121">
        <f>SUM(H30:H35)</f>
        <v>626222</v>
      </c>
      <c r="I36" s="567">
        <f>SUM(I30:I35)</f>
        <v>560978</v>
      </c>
      <c r="J36" s="192"/>
    </row>
    <row r="37" spans="1:10" ht="15">
      <c r="A37" s="258" t="s">
        <v>381</v>
      </c>
      <c r="B37" s="1133" t="s">
        <v>1010</v>
      </c>
      <c r="C37" s="1089"/>
      <c r="D37" s="1089"/>
      <c r="E37" s="1089"/>
      <c r="F37" s="1089"/>
      <c r="G37" s="147">
        <v>600</v>
      </c>
      <c r="H37" s="147">
        <v>600</v>
      </c>
      <c r="I37" s="793">
        <v>717</v>
      </c>
      <c r="J37" s="192"/>
    </row>
    <row r="38" spans="1:10" ht="15">
      <c r="A38" s="258" t="s">
        <v>380</v>
      </c>
      <c r="B38" s="1043" t="s">
        <v>1009</v>
      </c>
      <c r="C38" s="1051"/>
      <c r="D38" s="1051"/>
      <c r="E38" s="1051"/>
      <c r="F38" s="1051"/>
      <c r="G38" s="119">
        <v>0</v>
      </c>
      <c r="H38" s="119">
        <v>0</v>
      </c>
      <c r="I38" s="172">
        <v>0</v>
      </c>
      <c r="J38" s="192"/>
    </row>
    <row r="39" spans="1:10" ht="15">
      <c r="A39" s="258" t="s">
        <v>379</v>
      </c>
      <c r="B39" s="1080" t="s">
        <v>1008</v>
      </c>
      <c r="C39" s="1106"/>
      <c r="D39" s="1106"/>
      <c r="E39" s="1106"/>
      <c r="F39" s="1106"/>
      <c r="G39" s="121">
        <f>SUM(G36:G38)</f>
        <v>545698</v>
      </c>
      <c r="H39" s="121">
        <f>SUM(H36:H38)</f>
        <v>626822</v>
      </c>
      <c r="I39" s="567">
        <f>SUM(I36:I38)</f>
        <v>561695</v>
      </c>
      <c r="J39" s="192"/>
    </row>
    <row r="40" spans="1:10" ht="15">
      <c r="A40" s="258" t="s">
        <v>348</v>
      </c>
      <c r="B40" s="1043" t="s">
        <v>1007</v>
      </c>
      <c r="C40" s="1051"/>
      <c r="D40" s="1051"/>
      <c r="E40" s="1051"/>
      <c r="F40" s="1051"/>
      <c r="G40" s="119">
        <v>432134</v>
      </c>
      <c r="H40" s="119">
        <v>493761</v>
      </c>
      <c r="I40" s="172">
        <v>3748</v>
      </c>
      <c r="J40" s="192"/>
    </row>
    <row r="41" spans="1:10" ht="15">
      <c r="A41" s="258" t="s">
        <v>346</v>
      </c>
      <c r="B41" s="1043" t="s">
        <v>1006</v>
      </c>
      <c r="C41" s="1051"/>
      <c r="D41" s="1051"/>
      <c r="E41" s="1051"/>
      <c r="F41" s="1051"/>
      <c r="G41" s="628">
        <v>0</v>
      </c>
      <c r="H41" s="628">
        <v>0</v>
      </c>
      <c r="I41" s="172">
        <v>-20</v>
      </c>
      <c r="J41" s="192"/>
    </row>
    <row r="42" spans="1:10" s="26" customFormat="1" ht="15.75">
      <c r="A42" s="792" t="s">
        <v>345</v>
      </c>
      <c r="B42" s="1671" t="s">
        <v>1005</v>
      </c>
      <c r="C42" s="1671"/>
      <c r="D42" s="1671"/>
      <c r="E42" s="1671"/>
      <c r="F42" s="1672"/>
      <c r="G42" s="791">
        <f>SUM(G39:G41)</f>
        <v>977832</v>
      </c>
      <c r="H42" s="791">
        <f>SUM(H39:H41)</f>
        <v>1120583</v>
      </c>
      <c r="I42" s="790">
        <f>SUM(I39:I41)</f>
        <v>565423</v>
      </c>
      <c r="J42" s="789"/>
    </row>
    <row r="43" spans="1:10" ht="15">
      <c r="A43" s="258" t="s">
        <v>344</v>
      </c>
      <c r="B43" s="1042" t="s">
        <v>1004</v>
      </c>
      <c r="C43" s="1042"/>
      <c r="D43" s="1042"/>
      <c r="E43" s="1042"/>
      <c r="F43" s="1043"/>
      <c r="G43" s="110"/>
      <c r="H43" s="788"/>
      <c r="I43" s="172"/>
      <c r="J43" s="192"/>
    </row>
    <row r="44" spans="1:10" ht="15.75" thickBot="1">
      <c r="A44" s="464" t="s">
        <v>343</v>
      </c>
      <c r="B44" s="1168" t="s">
        <v>1003</v>
      </c>
      <c r="C44" s="1169"/>
      <c r="D44" s="1169"/>
      <c r="E44" s="1169"/>
      <c r="F44" s="1169"/>
      <c r="G44" s="114">
        <f>SUM(G42:G43)</f>
        <v>977832</v>
      </c>
      <c r="H44" s="114">
        <f>SUM(H42:H43)</f>
        <v>1120583</v>
      </c>
      <c r="I44" s="565">
        <f>SUM(I42:I43)</f>
        <v>565423</v>
      </c>
      <c r="J44" s="192"/>
    </row>
    <row r="54" ht="12.75">
      <c r="A54" s="112"/>
    </row>
  </sheetData>
  <sheetProtection/>
  <mergeCells count="42">
    <mergeCell ref="H10:I10"/>
    <mergeCell ref="B38:F38"/>
    <mergeCell ref="B23:F23"/>
    <mergeCell ref="B24:F24"/>
    <mergeCell ref="B25:F25"/>
    <mergeCell ref="B11:F11"/>
    <mergeCell ref="B26:F26"/>
    <mergeCell ref="B27:F27"/>
    <mergeCell ref="B37:F37"/>
    <mergeCell ref="B32:F32"/>
    <mergeCell ref="B41:F41"/>
    <mergeCell ref="B44:F44"/>
    <mergeCell ref="B43:F43"/>
    <mergeCell ref="B42:F42"/>
    <mergeCell ref="B28:F28"/>
    <mergeCell ref="B29:F29"/>
    <mergeCell ref="B30:F30"/>
    <mergeCell ref="B31:F31"/>
    <mergeCell ref="B40:F40"/>
    <mergeCell ref="B39:F39"/>
    <mergeCell ref="B33:F33"/>
    <mergeCell ref="B34:F34"/>
    <mergeCell ref="B36:F36"/>
    <mergeCell ref="B21:F21"/>
    <mergeCell ref="B22:F22"/>
    <mergeCell ref="B35:F35"/>
    <mergeCell ref="F1:I1"/>
    <mergeCell ref="A5:I5"/>
    <mergeCell ref="A6:I6"/>
    <mergeCell ref="A12:A13"/>
    <mergeCell ref="B15:F15"/>
    <mergeCell ref="B12:F13"/>
    <mergeCell ref="G12:G13"/>
    <mergeCell ref="I12:I13"/>
    <mergeCell ref="G14:H14"/>
    <mergeCell ref="B14:F14"/>
    <mergeCell ref="H12:H13"/>
    <mergeCell ref="B16:F16"/>
    <mergeCell ref="B17:F17"/>
    <mergeCell ref="B18:F18"/>
    <mergeCell ref="B19:F19"/>
    <mergeCell ref="B20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6">
      <selection activeCell="J37" sqref="J37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45.28125" style="0" customWidth="1"/>
    <col min="5" max="5" width="7.28125" style="0" customWidth="1"/>
    <col min="6" max="6" width="10.7109375" style="0" customWidth="1"/>
    <col min="9" max="9" width="12.57421875" style="0" customWidth="1"/>
    <col min="10" max="10" width="11.57421875" style="0" customWidth="1"/>
    <col min="11" max="11" width="10.28125" style="0" customWidth="1"/>
    <col min="12" max="12" width="7.421875" style="0" customWidth="1"/>
  </cols>
  <sheetData>
    <row r="1" spans="9:12" ht="12.75">
      <c r="I1" s="1096"/>
      <c r="J1" s="1096"/>
      <c r="K1" s="1096"/>
      <c r="L1" s="1096"/>
    </row>
    <row r="2" spans="9:12" ht="12.75">
      <c r="I2" s="99"/>
      <c r="J2" s="99"/>
      <c r="K2" s="99"/>
      <c r="L2" s="99"/>
    </row>
    <row r="5" spans="1:12" ht="12.75">
      <c r="A5" s="1097" t="s">
        <v>1056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</row>
    <row r="6" spans="1:12" ht="16.5" customHeight="1">
      <c r="A6" s="1097" t="s">
        <v>1055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  <c r="L6" s="1097"/>
    </row>
    <row r="7" spans="1:12" ht="12.75">
      <c r="A7" s="42"/>
      <c r="B7" s="42"/>
      <c r="C7" s="11"/>
      <c r="D7" s="42"/>
      <c r="E7" s="42"/>
      <c r="F7" s="42"/>
      <c r="G7" s="42"/>
      <c r="H7" s="42"/>
      <c r="I7" s="42"/>
      <c r="J7" s="42"/>
      <c r="K7" s="42"/>
      <c r="L7" s="42"/>
    </row>
    <row r="8" spans="1:12" ht="13.5" thickBot="1">
      <c r="A8" s="810"/>
      <c r="B8" s="42"/>
      <c r="C8" s="810"/>
      <c r="D8" s="810"/>
      <c r="E8" s="810"/>
      <c r="F8" s="810"/>
      <c r="G8" s="810"/>
      <c r="H8" s="810"/>
      <c r="I8" s="810"/>
      <c r="J8" s="42"/>
      <c r="K8" s="809" t="s">
        <v>1001</v>
      </c>
      <c r="L8" s="42"/>
    </row>
    <row r="9" spans="1:13" ht="13.5" thickBot="1">
      <c r="A9" s="808"/>
      <c r="B9" s="1688" t="s">
        <v>41</v>
      </c>
      <c r="C9" s="1689"/>
      <c r="D9" s="1688" t="s">
        <v>27</v>
      </c>
      <c r="E9" s="1689"/>
      <c r="F9" s="806" t="s">
        <v>28</v>
      </c>
      <c r="G9" s="1688" t="s">
        <v>29</v>
      </c>
      <c r="H9" s="1689"/>
      <c r="I9" s="807" t="s">
        <v>30</v>
      </c>
      <c r="J9" s="806" t="s">
        <v>439</v>
      </c>
      <c r="K9" s="1688" t="s">
        <v>438</v>
      </c>
      <c r="L9" s="1707"/>
      <c r="M9" s="169"/>
    </row>
    <row r="10" spans="1:12" ht="12.75" customHeight="1">
      <c r="A10" s="1411" t="s">
        <v>471</v>
      </c>
      <c r="B10" s="1682" t="s">
        <v>7</v>
      </c>
      <c r="C10" s="1683"/>
      <c r="D10" s="1679" t="s">
        <v>986</v>
      </c>
      <c r="E10" s="1661"/>
      <c r="F10" s="1249" t="s">
        <v>983</v>
      </c>
      <c r="G10" s="1679" t="s">
        <v>985</v>
      </c>
      <c r="H10" s="1661"/>
      <c r="I10" s="1411" t="s">
        <v>984</v>
      </c>
      <c r="J10" s="1411" t="s">
        <v>983</v>
      </c>
      <c r="K10" s="1679" t="s">
        <v>982</v>
      </c>
      <c r="L10" s="1661"/>
    </row>
    <row r="11" spans="1:12" ht="12.75">
      <c r="A11" s="1680"/>
      <c r="B11" s="1684"/>
      <c r="C11" s="1685"/>
      <c r="D11" s="1403"/>
      <c r="E11" s="1662"/>
      <c r="F11" s="1249"/>
      <c r="G11" s="1403"/>
      <c r="H11" s="1662"/>
      <c r="I11" s="1412"/>
      <c r="J11" s="1412"/>
      <c r="K11" s="1403"/>
      <c r="L11" s="1662"/>
    </row>
    <row r="12" spans="1:12" ht="12.75">
      <c r="A12" s="1680"/>
      <c r="B12" s="1684"/>
      <c r="C12" s="1685"/>
      <c r="D12" s="1403"/>
      <c r="E12" s="1662"/>
      <c r="F12" s="1249"/>
      <c r="G12" s="1403"/>
      <c r="H12" s="1662"/>
      <c r="I12" s="1412"/>
      <c r="J12" s="1412"/>
      <c r="K12" s="1403"/>
      <c r="L12" s="1662"/>
    </row>
    <row r="13" spans="1:12" ht="12.75">
      <c r="A13" s="1680"/>
      <c r="B13" s="1684"/>
      <c r="C13" s="1685"/>
      <c r="D13" s="1403"/>
      <c r="E13" s="1662"/>
      <c r="F13" s="1249"/>
      <c r="G13" s="1403"/>
      <c r="H13" s="1662"/>
      <c r="I13" s="1412"/>
      <c r="J13" s="1412"/>
      <c r="K13" s="1403"/>
      <c r="L13" s="1662"/>
    </row>
    <row r="14" spans="1:12" ht="13.5" thickBot="1">
      <c r="A14" s="1681"/>
      <c r="B14" s="1686"/>
      <c r="C14" s="1687"/>
      <c r="D14" s="1404"/>
      <c r="E14" s="1663"/>
      <c r="F14" s="1414"/>
      <c r="G14" s="1404"/>
      <c r="H14" s="1663"/>
      <c r="I14" s="1678"/>
      <c r="J14" s="1678"/>
      <c r="K14" s="1404"/>
      <c r="L14" s="1663"/>
    </row>
    <row r="15" spans="1:13" ht="12.75">
      <c r="A15" s="89" t="s">
        <v>390</v>
      </c>
      <c r="B15" s="1131" t="s">
        <v>1054</v>
      </c>
      <c r="C15" s="1133"/>
      <c r="D15" s="1652">
        <v>493723</v>
      </c>
      <c r="E15" s="1653"/>
      <c r="F15" s="145">
        <v>0</v>
      </c>
      <c r="G15" s="1652">
        <v>493723</v>
      </c>
      <c r="H15" s="1653"/>
      <c r="I15" s="765">
        <v>497293</v>
      </c>
      <c r="J15" s="748">
        <v>0</v>
      </c>
      <c r="K15" s="1652">
        <v>497293</v>
      </c>
      <c r="L15" s="1704"/>
      <c r="M15" s="488"/>
    </row>
    <row r="16" spans="1:13" ht="12.75">
      <c r="A16" s="89" t="s">
        <v>429</v>
      </c>
      <c r="B16" s="107" t="s">
        <v>1053</v>
      </c>
      <c r="C16" s="107"/>
      <c r="D16" s="1652">
        <v>-2057</v>
      </c>
      <c r="E16" s="1653"/>
      <c r="F16" s="145">
        <v>0</v>
      </c>
      <c r="G16" s="1652">
        <v>-2057</v>
      </c>
      <c r="H16" s="1653"/>
      <c r="I16" s="765">
        <v>-3208</v>
      </c>
      <c r="J16" s="748">
        <v>0</v>
      </c>
      <c r="K16" s="1652">
        <v>-3208</v>
      </c>
      <c r="L16" s="1704"/>
      <c r="M16" s="488"/>
    </row>
    <row r="17" spans="1:13" ht="12.75">
      <c r="A17" s="89" t="s">
        <v>428</v>
      </c>
      <c r="B17" s="107" t="s">
        <v>1052</v>
      </c>
      <c r="C17" s="107"/>
      <c r="D17" s="1652">
        <v>73128</v>
      </c>
      <c r="E17" s="1653"/>
      <c r="F17" s="145">
        <v>0</v>
      </c>
      <c r="G17" s="1652">
        <v>73128</v>
      </c>
      <c r="H17" s="1653"/>
      <c r="I17" s="765">
        <v>490515</v>
      </c>
      <c r="J17" s="748">
        <v>0</v>
      </c>
      <c r="K17" s="1652">
        <v>490515</v>
      </c>
      <c r="L17" s="1704"/>
      <c r="M17" s="488"/>
    </row>
    <row r="18" spans="1:13" ht="12.75">
      <c r="A18" s="89" t="s">
        <v>427</v>
      </c>
      <c r="B18" s="107" t="s">
        <v>1051</v>
      </c>
      <c r="C18" s="107"/>
      <c r="D18" s="1652">
        <v>0</v>
      </c>
      <c r="E18" s="1653"/>
      <c r="F18" s="145">
        <v>0</v>
      </c>
      <c r="G18" s="1652">
        <v>0</v>
      </c>
      <c r="H18" s="1653"/>
      <c r="I18" s="765">
        <v>0</v>
      </c>
      <c r="J18" s="748">
        <v>0</v>
      </c>
      <c r="K18" s="1652">
        <v>0</v>
      </c>
      <c r="L18" s="1704"/>
      <c r="M18" s="488"/>
    </row>
    <row r="19" spans="1:13" ht="12.75">
      <c r="A19" s="89" t="s">
        <v>426</v>
      </c>
      <c r="B19" s="107" t="s">
        <v>1050</v>
      </c>
      <c r="C19" s="107"/>
      <c r="D19" s="1690">
        <v>418538</v>
      </c>
      <c r="E19" s="1691"/>
      <c r="F19" s="145">
        <v>0</v>
      </c>
      <c r="G19" s="1690">
        <v>418538</v>
      </c>
      <c r="H19" s="1691"/>
      <c r="I19" s="804">
        <v>3570</v>
      </c>
      <c r="J19" s="748">
        <v>0</v>
      </c>
      <c r="K19" s="1652">
        <v>3570</v>
      </c>
      <c r="L19" s="1704"/>
      <c r="M19" s="488"/>
    </row>
    <row r="20" spans="1:13" ht="12.75">
      <c r="A20" s="89" t="s">
        <v>425</v>
      </c>
      <c r="B20" s="107" t="s">
        <v>1049</v>
      </c>
      <c r="C20" s="107"/>
      <c r="D20" s="1652">
        <v>0</v>
      </c>
      <c r="E20" s="1653"/>
      <c r="F20" s="145">
        <v>0</v>
      </c>
      <c r="G20" s="1652">
        <v>0</v>
      </c>
      <c r="H20" s="1653"/>
      <c r="I20" s="765">
        <v>-420</v>
      </c>
      <c r="J20" s="748">
        <v>0</v>
      </c>
      <c r="K20" s="1652">
        <v>-420</v>
      </c>
      <c r="L20" s="1704"/>
      <c r="M20" s="488"/>
    </row>
    <row r="21" spans="1:13" ht="12.75">
      <c r="A21" s="89" t="s">
        <v>424</v>
      </c>
      <c r="B21" s="107" t="s">
        <v>1048</v>
      </c>
      <c r="C21" s="107"/>
      <c r="D21" s="1652">
        <v>2095</v>
      </c>
      <c r="E21" s="1653"/>
      <c r="F21" s="145">
        <v>0</v>
      </c>
      <c r="G21" s="1652">
        <v>2095</v>
      </c>
      <c r="H21" s="1653"/>
      <c r="I21" s="765">
        <v>2538</v>
      </c>
      <c r="J21" s="748">
        <v>0</v>
      </c>
      <c r="K21" s="1652">
        <v>2538</v>
      </c>
      <c r="L21" s="1704"/>
      <c r="M21" s="488"/>
    </row>
    <row r="22" spans="1:13" ht="12.75">
      <c r="A22" s="89" t="s">
        <v>423</v>
      </c>
      <c r="B22" s="107" t="s">
        <v>1047</v>
      </c>
      <c r="C22" s="107"/>
      <c r="D22" s="1652">
        <v>0</v>
      </c>
      <c r="E22" s="1653"/>
      <c r="F22" s="145">
        <v>0</v>
      </c>
      <c r="G22" s="1652">
        <v>0</v>
      </c>
      <c r="H22" s="1653"/>
      <c r="I22" s="765">
        <v>0</v>
      </c>
      <c r="J22" s="748">
        <v>0</v>
      </c>
      <c r="K22" s="1652">
        <v>0</v>
      </c>
      <c r="L22" s="1704"/>
      <c r="M22" s="488"/>
    </row>
    <row r="23" spans="1:13" ht="12.75">
      <c r="A23" s="89" t="s">
        <v>422</v>
      </c>
      <c r="B23" s="107" t="s">
        <v>1046</v>
      </c>
      <c r="C23" s="107"/>
      <c r="D23" s="1652">
        <v>0</v>
      </c>
      <c r="E23" s="1653"/>
      <c r="F23" s="145">
        <v>0</v>
      </c>
      <c r="G23" s="1652">
        <v>0</v>
      </c>
      <c r="H23" s="1653"/>
      <c r="I23" s="765">
        <v>0</v>
      </c>
      <c r="J23" s="748">
        <v>0</v>
      </c>
      <c r="K23" s="1652">
        <v>0</v>
      </c>
      <c r="L23" s="1704"/>
      <c r="M23" s="488"/>
    </row>
    <row r="24" spans="1:13" s="26" customFormat="1" ht="12.75">
      <c r="A24" s="803" t="s">
        <v>421</v>
      </c>
      <c r="B24" s="802" t="s">
        <v>1045</v>
      </c>
      <c r="C24" s="802"/>
      <c r="D24" s="1665">
        <v>420633</v>
      </c>
      <c r="E24" s="1666"/>
      <c r="F24" s="770">
        <v>0</v>
      </c>
      <c r="G24" s="1665">
        <v>420633</v>
      </c>
      <c r="H24" s="1666"/>
      <c r="I24" s="770">
        <v>5688</v>
      </c>
      <c r="J24" s="753">
        <v>0</v>
      </c>
      <c r="K24" s="1665">
        <v>5688</v>
      </c>
      <c r="L24" s="1706"/>
      <c r="M24" s="759"/>
    </row>
    <row r="25" spans="1:13" ht="12.75">
      <c r="A25" s="488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</row>
    <row r="26" spans="1:13" ht="12.75">
      <c r="A26" s="1699" t="s">
        <v>1044</v>
      </c>
      <c r="B26" s="1699"/>
      <c r="C26" s="1699"/>
      <c r="D26" s="488"/>
      <c r="E26" s="488"/>
      <c r="F26" s="488"/>
      <c r="G26" s="488"/>
      <c r="H26" s="488"/>
      <c r="I26" s="488"/>
      <c r="J26" s="488"/>
      <c r="K26" s="1705">
        <v>493723</v>
      </c>
      <c r="L26" s="1705"/>
      <c r="M26" s="488"/>
    </row>
    <row r="27" spans="1:13" ht="12.75">
      <c r="A27" s="1700" t="s">
        <v>1043</v>
      </c>
      <c r="B27" s="1701"/>
      <c r="C27" s="1701"/>
      <c r="D27" s="488"/>
      <c r="E27" s="488"/>
      <c r="F27" s="488"/>
      <c r="G27" s="488"/>
      <c r="H27" s="488"/>
      <c r="I27" s="488"/>
      <c r="J27" s="488"/>
      <c r="K27" s="1703">
        <v>565423</v>
      </c>
      <c r="L27" s="1703"/>
      <c r="M27" s="488"/>
    </row>
    <row r="28" spans="1:13" ht="13.5" thickBot="1">
      <c r="A28" s="1702" t="s">
        <v>1042</v>
      </c>
      <c r="B28" s="1702"/>
      <c r="C28" s="1702"/>
      <c r="D28" s="801"/>
      <c r="E28" s="801"/>
      <c r="F28" s="801"/>
      <c r="G28" s="801"/>
      <c r="H28" s="801"/>
      <c r="I28" s="801"/>
      <c r="J28" s="801"/>
      <c r="K28" s="1708">
        <v>558105</v>
      </c>
      <c r="L28" s="1708"/>
      <c r="M28" s="488"/>
    </row>
    <row r="29" spans="1:13" ht="13.5" thickTop="1">
      <c r="A29" s="1695" t="s">
        <v>1041</v>
      </c>
      <c r="B29" s="1694"/>
      <c r="C29" s="1694"/>
      <c r="D29" s="759"/>
      <c r="E29" s="488"/>
      <c r="F29" s="488"/>
      <c r="G29" s="488"/>
      <c r="H29" s="488"/>
      <c r="I29" s="488"/>
      <c r="J29" s="488"/>
      <c r="K29" s="1699">
        <f>K26+K27+-K28</f>
        <v>501041</v>
      </c>
      <c r="L29" s="1699"/>
      <c r="M29" s="488"/>
    </row>
    <row r="30" spans="1:13" ht="12.75">
      <c r="A30" s="1693" t="s">
        <v>1040</v>
      </c>
      <c r="B30" s="1694"/>
      <c r="C30" s="1694"/>
      <c r="D30" s="488"/>
      <c r="E30" s="488"/>
      <c r="F30" s="488"/>
      <c r="G30" s="488"/>
      <c r="H30" s="488"/>
      <c r="I30" s="488"/>
      <c r="J30" s="488"/>
      <c r="K30" s="1703">
        <v>3748</v>
      </c>
      <c r="L30" s="1703"/>
      <c r="M30" s="488"/>
    </row>
    <row r="31" spans="1:13" ht="12.75">
      <c r="A31" s="1697"/>
      <c r="B31" s="1697"/>
      <c r="C31" s="1697"/>
      <c r="D31" s="488"/>
      <c r="E31" s="488"/>
      <c r="F31" s="488"/>
      <c r="G31" s="488"/>
      <c r="H31" s="488"/>
      <c r="I31" s="488"/>
      <c r="J31" s="488"/>
      <c r="K31" s="488"/>
      <c r="L31" s="488">
        <v>0</v>
      </c>
      <c r="M31" s="488"/>
    </row>
    <row r="32" spans="1:13" s="26" customFormat="1" ht="12.75">
      <c r="A32" s="1695" t="s">
        <v>1039</v>
      </c>
      <c r="B32" s="1695"/>
      <c r="C32" s="1695"/>
      <c r="D32" s="759"/>
      <c r="E32" s="759"/>
      <c r="F32" s="759"/>
      <c r="G32" s="759"/>
      <c r="H32" s="759"/>
      <c r="I32" s="759"/>
      <c r="J32" s="759"/>
      <c r="K32" s="1699">
        <f>K29-K30+L31</f>
        <v>497293</v>
      </c>
      <c r="L32" s="1699"/>
      <c r="M32" s="759"/>
    </row>
    <row r="33" spans="1:3" ht="12.75">
      <c r="A33" s="1692"/>
      <c r="B33" s="1692"/>
      <c r="C33" s="1692"/>
    </row>
    <row r="36" ht="12.75">
      <c r="C36" s="799"/>
    </row>
    <row r="40" spans="1:3" ht="12.75">
      <c r="A40" s="1696"/>
      <c r="B40" s="1696"/>
      <c r="C40" s="1696"/>
    </row>
    <row r="41" spans="1:3" ht="12.75">
      <c r="A41" s="1698"/>
      <c r="B41" s="1698"/>
      <c r="C41" s="1698"/>
    </row>
    <row r="42" spans="1:3" ht="12.75">
      <c r="A42" s="1692"/>
      <c r="B42" s="1692"/>
      <c r="C42" s="1692"/>
    </row>
  </sheetData>
  <sheetProtection/>
  <mergeCells count="63">
    <mergeCell ref="D9:E9"/>
    <mergeCell ref="G9:H9"/>
    <mergeCell ref="K9:L9"/>
    <mergeCell ref="K28:L28"/>
    <mergeCell ref="K29:L29"/>
    <mergeCell ref="K15:L15"/>
    <mergeCell ref="K16:L16"/>
    <mergeCell ref="K17:L17"/>
    <mergeCell ref="G23:H23"/>
    <mergeCell ref="K23:L23"/>
    <mergeCell ref="K30:L30"/>
    <mergeCell ref="K32:L32"/>
    <mergeCell ref="K18:L18"/>
    <mergeCell ref="K19:L19"/>
    <mergeCell ref="K26:L26"/>
    <mergeCell ref="K27:L27"/>
    <mergeCell ref="K24:L24"/>
    <mergeCell ref="K20:L20"/>
    <mergeCell ref="K21:L21"/>
    <mergeCell ref="K22:L22"/>
    <mergeCell ref="G15:H15"/>
    <mergeCell ref="G16:H16"/>
    <mergeCell ref="G17:H17"/>
    <mergeCell ref="G18:H18"/>
    <mergeCell ref="G19:H19"/>
    <mergeCell ref="G20:H20"/>
    <mergeCell ref="D23:E23"/>
    <mergeCell ref="G21:H21"/>
    <mergeCell ref="G22:H22"/>
    <mergeCell ref="A41:C41"/>
    <mergeCell ref="A29:C29"/>
    <mergeCell ref="A26:C26"/>
    <mergeCell ref="A27:C27"/>
    <mergeCell ref="A28:C28"/>
    <mergeCell ref="G24:H24"/>
    <mergeCell ref="D24:E24"/>
    <mergeCell ref="B15:C15"/>
    <mergeCell ref="A42:C42"/>
    <mergeCell ref="A30:C30"/>
    <mergeCell ref="A32:C32"/>
    <mergeCell ref="A33:C33"/>
    <mergeCell ref="A40:C40"/>
    <mergeCell ref="A31:C31"/>
    <mergeCell ref="G10:H14"/>
    <mergeCell ref="D19:E19"/>
    <mergeCell ref="D20:E20"/>
    <mergeCell ref="D21:E21"/>
    <mergeCell ref="D22:E22"/>
    <mergeCell ref="D17:E17"/>
    <mergeCell ref="F10:F14"/>
    <mergeCell ref="D18:E18"/>
    <mergeCell ref="D15:E15"/>
    <mergeCell ref="D16:E16"/>
    <mergeCell ref="I1:L1"/>
    <mergeCell ref="A5:L5"/>
    <mergeCell ref="A6:L6"/>
    <mergeCell ref="J10:J14"/>
    <mergeCell ref="K10:L14"/>
    <mergeCell ref="A10:A14"/>
    <mergeCell ref="B10:C14"/>
    <mergeCell ref="I10:I14"/>
    <mergeCell ref="D10:E14"/>
    <mergeCell ref="B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4.140625" style="0" customWidth="1"/>
    <col min="3" max="3" width="46.8515625" style="0" customWidth="1"/>
    <col min="5" max="5" width="4.57421875" style="0" customWidth="1"/>
    <col min="6" max="6" width="10.7109375" style="0" customWidth="1"/>
    <col min="8" max="8" width="5.421875" style="0" customWidth="1"/>
    <col min="9" max="9" width="11.140625" style="0" customWidth="1"/>
    <col min="10" max="10" width="8.00390625" style="0" customWidth="1"/>
    <col min="12" max="12" width="4.140625" style="0" customWidth="1"/>
  </cols>
  <sheetData>
    <row r="1" spans="9:12" ht="12.75">
      <c r="I1" s="1096"/>
      <c r="J1" s="1096"/>
      <c r="K1" s="1096"/>
      <c r="L1" s="1096"/>
    </row>
    <row r="5" spans="1:12" ht="12.75">
      <c r="A5" s="1097" t="s">
        <v>1072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</row>
    <row r="6" spans="1:12" ht="16.5" customHeight="1">
      <c r="A6" s="1097" t="s">
        <v>1071</v>
      </c>
      <c r="B6" s="1097"/>
      <c r="C6" s="1097"/>
      <c r="D6" s="1097"/>
      <c r="E6" s="1097"/>
      <c r="F6" s="1097"/>
      <c r="G6" s="1097"/>
      <c r="H6" s="1097"/>
      <c r="I6" s="1097"/>
      <c r="J6" s="1097"/>
      <c r="K6" s="1097"/>
      <c r="L6" s="1097"/>
    </row>
    <row r="7" spans="1:12" ht="12.75">
      <c r="A7" s="37"/>
      <c r="B7" s="37"/>
      <c r="C7" s="37"/>
      <c r="D7" s="37"/>
      <c r="E7" s="37" t="s">
        <v>1070</v>
      </c>
      <c r="F7" s="37"/>
      <c r="G7" s="37"/>
      <c r="H7" s="37"/>
      <c r="I7" s="37"/>
      <c r="J7" s="37"/>
      <c r="K7" s="37"/>
      <c r="L7" s="37"/>
    </row>
    <row r="8" spans="1:14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N8" s="1"/>
    </row>
    <row r="9" spans="1:12" ht="13.5" thickBot="1">
      <c r="A9" s="290"/>
      <c r="B9" s="1618" t="s">
        <v>41</v>
      </c>
      <c r="C9" s="1620"/>
      <c r="D9" s="1711" t="s">
        <v>27</v>
      </c>
      <c r="E9" s="1712"/>
      <c r="F9" s="758" t="s">
        <v>28</v>
      </c>
      <c r="G9" s="1711" t="s">
        <v>29</v>
      </c>
      <c r="H9" s="1712"/>
      <c r="I9" s="758" t="s">
        <v>30</v>
      </c>
      <c r="J9" s="758" t="s">
        <v>439</v>
      </c>
      <c r="K9" s="1711" t="s">
        <v>438</v>
      </c>
      <c r="L9" s="1728"/>
    </row>
    <row r="10" spans="1:12" ht="12.75">
      <c r="A10" s="1720" t="s">
        <v>471</v>
      </c>
      <c r="B10" s="1723" t="s">
        <v>7</v>
      </c>
      <c r="C10" s="1724"/>
      <c r="D10" s="1714" t="s">
        <v>986</v>
      </c>
      <c r="E10" s="1714"/>
      <c r="F10" s="1714" t="s">
        <v>983</v>
      </c>
      <c r="G10" s="1714" t="s">
        <v>985</v>
      </c>
      <c r="H10" s="1714"/>
      <c r="I10" s="1714" t="s">
        <v>984</v>
      </c>
      <c r="J10" s="1714" t="s">
        <v>983</v>
      </c>
      <c r="K10" s="1714" t="s">
        <v>982</v>
      </c>
      <c r="L10" s="1717"/>
    </row>
    <row r="11" spans="1:12" ht="12.75">
      <c r="A11" s="1721"/>
      <c r="B11" s="1725"/>
      <c r="C11" s="1726"/>
      <c r="D11" s="1715"/>
      <c r="E11" s="1715"/>
      <c r="F11" s="1715"/>
      <c r="G11" s="1715"/>
      <c r="H11" s="1715"/>
      <c r="I11" s="1715"/>
      <c r="J11" s="1715"/>
      <c r="K11" s="1715"/>
      <c r="L11" s="1718"/>
    </row>
    <row r="12" spans="1:12" ht="12.75">
      <c r="A12" s="1721"/>
      <c r="B12" s="1725"/>
      <c r="C12" s="1726"/>
      <c r="D12" s="1715"/>
      <c r="E12" s="1715"/>
      <c r="F12" s="1715"/>
      <c r="G12" s="1715"/>
      <c r="H12" s="1715"/>
      <c r="I12" s="1715"/>
      <c r="J12" s="1715"/>
      <c r="K12" s="1715"/>
      <c r="L12" s="1718"/>
    </row>
    <row r="13" spans="1:12" ht="12.75">
      <c r="A13" s="1721"/>
      <c r="B13" s="1725"/>
      <c r="C13" s="1726"/>
      <c r="D13" s="1715"/>
      <c r="E13" s="1715"/>
      <c r="F13" s="1715"/>
      <c r="G13" s="1715"/>
      <c r="H13" s="1715"/>
      <c r="I13" s="1715"/>
      <c r="J13" s="1715"/>
      <c r="K13" s="1715"/>
      <c r="L13" s="1718"/>
    </row>
    <row r="14" spans="1:12" ht="12.75">
      <c r="A14" s="1722"/>
      <c r="B14" s="1727"/>
      <c r="C14" s="1577"/>
      <c r="D14" s="1716"/>
      <c r="E14" s="1716"/>
      <c r="F14" s="1716"/>
      <c r="G14" s="1716"/>
      <c r="H14" s="1716"/>
      <c r="I14" s="1716"/>
      <c r="J14" s="1716"/>
      <c r="K14" s="1716"/>
      <c r="L14" s="1719"/>
    </row>
    <row r="15" spans="1:12" ht="12.75">
      <c r="A15" s="81" t="s">
        <v>390</v>
      </c>
      <c r="B15" s="620" t="s">
        <v>1069</v>
      </c>
      <c r="C15" s="620"/>
      <c r="D15" s="1709">
        <v>0</v>
      </c>
      <c r="E15" s="1710"/>
      <c r="F15" s="697">
        <v>0</v>
      </c>
      <c r="G15" s="1709">
        <v>0</v>
      </c>
      <c r="H15" s="1710"/>
      <c r="I15" s="110">
        <v>0</v>
      </c>
      <c r="J15" s="110">
        <v>0</v>
      </c>
      <c r="K15" s="1125">
        <v>0</v>
      </c>
      <c r="L15" s="1273"/>
    </row>
    <row r="16" spans="1:12" ht="12.75">
      <c r="A16" s="81" t="s">
        <v>429</v>
      </c>
      <c r="B16" s="620" t="s">
        <v>1068</v>
      </c>
      <c r="C16" s="620"/>
      <c r="D16" s="1709">
        <v>0</v>
      </c>
      <c r="E16" s="1710"/>
      <c r="F16" s="697">
        <v>0</v>
      </c>
      <c r="G16" s="1709">
        <v>0</v>
      </c>
      <c r="H16" s="1710"/>
      <c r="I16" s="110">
        <v>0</v>
      </c>
      <c r="J16" s="110">
        <v>0</v>
      </c>
      <c r="K16" s="1125">
        <v>0</v>
      </c>
      <c r="L16" s="1273"/>
    </row>
    <row r="17" spans="1:12" ht="12.75">
      <c r="A17" s="81" t="s">
        <v>428</v>
      </c>
      <c r="B17" s="620" t="s">
        <v>1067</v>
      </c>
      <c r="C17" s="620"/>
      <c r="D17" s="1709">
        <v>0</v>
      </c>
      <c r="E17" s="1710"/>
      <c r="F17" s="697">
        <v>0</v>
      </c>
      <c r="G17" s="1709">
        <v>0</v>
      </c>
      <c r="H17" s="1710"/>
      <c r="I17" s="110">
        <v>0</v>
      </c>
      <c r="J17" s="110">
        <v>0</v>
      </c>
      <c r="K17" s="1125">
        <v>0</v>
      </c>
      <c r="L17" s="1273"/>
    </row>
    <row r="18" spans="1:12" ht="12.75">
      <c r="A18" s="81" t="s">
        <v>427</v>
      </c>
      <c r="B18" s="620" t="s">
        <v>1066</v>
      </c>
      <c r="C18" s="620"/>
      <c r="D18" s="1709">
        <v>0</v>
      </c>
      <c r="E18" s="1710"/>
      <c r="F18" s="697">
        <v>0</v>
      </c>
      <c r="G18" s="1709">
        <v>0</v>
      </c>
      <c r="H18" s="1710"/>
      <c r="I18" s="110">
        <v>0</v>
      </c>
      <c r="J18" s="110">
        <v>0</v>
      </c>
      <c r="K18" s="1125">
        <v>0</v>
      </c>
      <c r="L18" s="1273"/>
    </row>
    <row r="19" spans="1:12" ht="12.75">
      <c r="A19" s="81" t="s">
        <v>426</v>
      </c>
      <c r="B19" s="620" t="s">
        <v>1065</v>
      </c>
      <c r="C19" s="620"/>
      <c r="D19" s="1709">
        <v>0</v>
      </c>
      <c r="E19" s="1710"/>
      <c r="F19" s="697">
        <v>0</v>
      </c>
      <c r="G19" s="1709">
        <v>0</v>
      </c>
      <c r="H19" s="1710"/>
      <c r="I19" s="110">
        <v>0</v>
      </c>
      <c r="J19" s="110">
        <v>0</v>
      </c>
      <c r="K19" s="1125">
        <v>0</v>
      </c>
      <c r="L19" s="1273"/>
    </row>
    <row r="20" spans="1:12" ht="12.75">
      <c r="A20" s="81" t="s">
        <v>425</v>
      </c>
      <c r="B20" s="620" t="s">
        <v>1064</v>
      </c>
      <c r="C20" s="620"/>
      <c r="D20" s="1709">
        <v>0</v>
      </c>
      <c r="E20" s="1710"/>
      <c r="F20" s="697">
        <v>0</v>
      </c>
      <c r="G20" s="1709">
        <v>0</v>
      </c>
      <c r="H20" s="1710"/>
      <c r="I20" s="110">
        <v>0</v>
      </c>
      <c r="J20" s="110">
        <v>0</v>
      </c>
      <c r="K20" s="1125">
        <v>0</v>
      </c>
      <c r="L20" s="1273"/>
    </row>
    <row r="21" spans="1:12" ht="12.75">
      <c r="A21" s="81" t="s">
        <v>424</v>
      </c>
      <c r="B21" s="620" t="s">
        <v>1063</v>
      </c>
      <c r="C21" s="620"/>
      <c r="D21" s="1709">
        <v>0</v>
      </c>
      <c r="E21" s="1710"/>
      <c r="F21" s="697">
        <v>0</v>
      </c>
      <c r="G21" s="1709">
        <v>0</v>
      </c>
      <c r="H21" s="1710"/>
      <c r="I21" s="110">
        <v>0</v>
      </c>
      <c r="J21" s="110">
        <v>0</v>
      </c>
      <c r="K21" s="1125">
        <v>0</v>
      </c>
      <c r="L21" s="1273"/>
    </row>
    <row r="22" spans="1:12" ht="12.75">
      <c r="A22" s="81" t="s">
        <v>423</v>
      </c>
      <c r="B22" s="622" t="s">
        <v>1062</v>
      </c>
      <c r="C22" s="622"/>
      <c r="D22" s="1709">
        <v>0</v>
      </c>
      <c r="E22" s="1710"/>
      <c r="F22" s="697">
        <v>0</v>
      </c>
      <c r="G22" s="1709">
        <v>0</v>
      </c>
      <c r="H22" s="1710"/>
      <c r="I22" s="110">
        <v>0</v>
      </c>
      <c r="J22" s="110">
        <v>0</v>
      </c>
      <c r="K22" s="1125">
        <v>0</v>
      </c>
      <c r="L22" s="1273"/>
    </row>
    <row r="23" spans="1:12" ht="12.75">
      <c r="A23" s="81" t="s">
        <v>422</v>
      </c>
      <c r="B23" s="622" t="s">
        <v>1061</v>
      </c>
      <c r="C23" s="622"/>
      <c r="D23" s="1709">
        <v>0</v>
      </c>
      <c r="E23" s="1710"/>
      <c r="F23" s="697">
        <v>0</v>
      </c>
      <c r="G23" s="1709">
        <v>0</v>
      </c>
      <c r="H23" s="1710"/>
      <c r="I23" s="110">
        <v>0</v>
      </c>
      <c r="J23" s="110">
        <v>0</v>
      </c>
      <c r="K23" s="1125">
        <v>0</v>
      </c>
      <c r="L23" s="1273"/>
    </row>
    <row r="24" spans="1:12" ht="12.75">
      <c r="A24" s="81" t="s">
        <v>421</v>
      </c>
      <c r="B24" s="622" t="s">
        <v>1060</v>
      </c>
      <c r="C24" s="622"/>
      <c r="D24" s="1709">
        <v>0</v>
      </c>
      <c r="E24" s="1710"/>
      <c r="F24" s="697">
        <v>0</v>
      </c>
      <c r="G24" s="1709">
        <v>0</v>
      </c>
      <c r="H24" s="1710"/>
      <c r="I24" s="110">
        <v>0</v>
      </c>
      <c r="J24" s="110">
        <v>0</v>
      </c>
      <c r="K24" s="1125">
        <v>0</v>
      </c>
      <c r="L24" s="1273"/>
    </row>
    <row r="25" spans="1:12" ht="12.75">
      <c r="A25" s="81" t="s">
        <v>420</v>
      </c>
      <c r="B25" s="622" t="s">
        <v>1059</v>
      </c>
      <c r="C25" s="622"/>
      <c r="D25" s="1709">
        <v>0</v>
      </c>
      <c r="E25" s="1710"/>
      <c r="F25" s="697">
        <v>0</v>
      </c>
      <c r="G25" s="1709">
        <v>0</v>
      </c>
      <c r="H25" s="1710"/>
      <c r="I25" s="110">
        <v>0</v>
      </c>
      <c r="J25" s="110">
        <v>0</v>
      </c>
      <c r="K25" s="1125">
        <v>0</v>
      </c>
      <c r="L25" s="1273"/>
    </row>
    <row r="26" spans="1:12" ht="12.75">
      <c r="A26" s="81" t="s">
        <v>419</v>
      </c>
      <c r="B26" s="620" t="s">
        <v>1058</v>
      </c>
      <c r="C26" s="620"/>
      <c r="D26" s="1709">
        <v>0</v>
      </c>
      <c r="E26" s="1710"/>
      <c r="F26" s="697">
        <v>0</v>
      </c>
      <c r="G26" s="1709">
        <v>0</v>
      </c>
      <c r="H26" s="1710"/>
      <c r="I26" s="110">
        <v>0</v>
      </c>
      <c r="J26" s="110">
        <v>0</v>
      </c>
      <c r="K26" s="1125">
        <v>0</v>
      </c>
      <c r="L26" s="1273"/>
    </row>
    <row r="27" spans="1:12" ht="12.75">
      <c r="A27" s="169"/>
      <c r="B27" s="6"/>
      <c r="C27" s="6"/>
      <c r="D27" s="6"/>
      <c r="E27" s="6"/>
      <c r="F27" s="6"/>
      <c r="G27" s="6"/>
      <c r="H27" s="6"/>
      <c r="I27" s="6"/>
      <c r="J27" s="6"/>
      <c r="K27" s="6"/>
      <c r="L27" s="813"/>
    </row>
    <row r="28" spans="1:12" ht="13.5" thickBot="1">
      <c r="A28" s="812"/>
      <c r="B28" s="725"/>
      <c r="C28" s="1713" t="s">
        <v>1057</v>
      </c>
      <c r="D28" s="1713"/>
      <c r="E28" s="1713"/>
      <c r="F28" s="1713"/>
      <c r="G28" s="1713"/>
      <c r="H28" s="1713"/>
      <c r="I28" s="1713"/>
      <c r="J28" s="725"/>
      <c r="K28" s="725"/>
      <c r="L28" s="811"/>
    </row>
    <row r="36" ht="13.5" thickBot="1">
      <c r="G36" s="725"/>
    </row>
  </sheetData>
  <sheetProtection/>
  <mergeCells count="52">
    <mergeCell ref="I1:L1"/>
    <mergeCell ref="A5:L5"/>
    <mergeCell ref="A6:L6"/>
    <mergeCell ref="I10:I14"/>
    <mergeCell ref="G10:H14"/>
    <mergeCell ref="K10:L14"/>
    <mergeCell ref="A10:A14"/>
    <mergeCell ref="B10:C14"/>
    <mergeCell ref="D10:E14"/>
    <mergeCell ref="K9:L9"/>
    <mergeCell ref="C28:I28"/>
    <mergeCell ref="J10:J14"/>
    <mergeCell ref="B9:C9"/>
    <mergeCell ref="D15:E15"/>
    <mergeCell ref="D16:E16"/>
    <mergeCell ref="F10:F14"/>
    <mergeCell ref="D17:E17"/>
    <mergeCell ref="D18:E18"/>
    <mergeCell ref="D9:E9"/>
    <mergeCell ref="D19:E19"/>
    <mergeCell ref="D20:E20"/>
    <mergeCell ref="D21:E21"/>
    <mergeCell ref="D22:E22"/>
    <mergeCell ref="D23:E23"/>
    <mergeCell ref="D24:E24"/>
    <mergeCell ref="D25:E25"/>
    <mergeCell ref="D26:E26"/>
    <mergeCell ref="G9:H9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K17:L17"/>
    <mergeCell ref="K18:L18"/>
    <mergeCell ref="K19:L19"/>
    <mergeCell ref="K22:L22"/>
    <mergeCell ref="K20:L20"/>
    <mergeCell ref="K21:L21"/>
    <mergeCell ref="K23:L23"/>
    <mergeCell ref="K24:L24"/>
    <mergeCell ref="K25:L25"/>
    <mergeCell ref="K26:L26"/>
    <mergeCell ref="K15:L15"/>
    <mergeCell ref="K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8" sqref="A8:H44"/>
    </sheetView>
  </sheetViews>
  <sheetFormatPr defaultColWidth="9.140625" defaultRowHeight="12.75"/>
  <cols>
    <col min="1" max="1" width="41.28125" style="0" customWidth="1"/>
    <col min="2" max="2" width="11.28125" style="0" customWidth="1"/>
    <col min="3" max="3" width="9.7109375" style="0" customWidth="1"/>
    <col min="4" max="4" width="12.57421875" style="0" customWidth="1"/>
    <col min="5" max="5" width="10.421875" style="0" customWidth="1"/>
    <col min="6" max="6" width="15.7109375" style="0" customWidth="1"/>
    <col min="7" max="7" width="18.00390625" style="0" customWidth="1"/>
    <col min="8" max="8" width="6.28125" style="0" customWidth="1"/>
  </cols>
  <sheetData>
    <row r="1" spans="1:14" ht="12.75">
      <c r="A1" s="1096"/>
      <c r="B1" s="1096"/>
      <c r="C1" s="1096"/>
      <c r="D1" s="1096"/>
      <c r="E1" s="1096"/>
      <c r="F1" s="1096"/>
      <c r="G1" s="1096"/>
      <c r="H1" s="837"/>
      <c r="I1" s="837"/>
      <c r="J1" s="837"/>
      <c r="K1" s="837"/>
      <c r="L1" s="837"/>
      <c r="M1" s="837"/>
      <c r="N1" s="837"/>
    </row>
    <row r="2" spans="1:7" s="836" customFormat="1" ht="12.75">
      <c r="A2" s="1729" t="s">
        <v>1115</v>
      </c>
      <c r="B2" s="1729"/>
      <c r="C2" s="1729"/>
      <c r="D2" s="1729"/>
      <c r="E2" s="1729"/>
      <c r="F2" s="1729"/>
      <c r="G2" s="1729"/>
    </row>
    <row r="3" spans="1:7" s="177" customFormat="1" ht="12.75">
      <c r="A3" s="1097" t="s">
        <v>1114</v>
      </c>
      <c r="B3" s="1097"/>
      <c r="C3" s="1097"/>
      <c r="D3" s="1097"/>
      <c r="E3" s="1097"/>
      <c r="F3" s="1097"/>
      <c r="G3" s="1097"/>
    </row>
    <row r="4" spans="1:7" s="800" customFormat="1" ht="12.75">
      <c r="A4" s="1696" t="s">
        <v>1113</v>
      </c>
      <c r="B4" s="1696"/>
      <c r="C4" s="1696"/>
      <c r="D4" s="1696"/>
      <c r="E4" s="1696"/>
      <c r="F4" s="1696"/>
      <c r="G4" s="1696"/>
    </row>
    <row r="5" s="800" customFormat="1" ht="12.75">
      <c r="G5" s="154" t="s">
        <v>4</v>
      </c>
    </row>
    <row r="6" spans="1:14" ht="13.5" thickBot="1">
      <c r="A6" s="208" t="s">
        <v>41</v>
      </c>
      <c r="B6" s="208" t="s">
        <v>27</v>
      </c>
      <c r="C6" s="208" t="s">
        <v>28</v>
      </c>
      <c r="D6" s="208" t="s">
        <v>29</v>
      </c>
      <c r="E6" s="208" t="s">
        <v>30</v>
      </c>
      <c r="F6" s="208" t="s">
        <v>439</v>
      </c>
      <c r="G6" s="208" t="s">
        <v>438</v>
      </c>
      <c r="I6" s="1"/>
      <c r="J6" s="1"/>
      <c r="K6" s="1"/>
      <c r="L6" s="1"/>
      <c r="M6" s="1"/>
      <c r="N6" s="1"/>
    </row>
    <row r="7" s="1692" customFormat="1" ht="13.5" hidden="1" thickBot="1"/>
    <row r="8" spans="1:14" ht="12.75">
      <c r="A8" s="835" t="s">
        <v>1112</v>
      </c>
      <c r="B8" s="834" t="s">
        <v>1111</v>
      </c>
      <c r="C8" s="834" t="s">
        <v>1110</v>
      </c>
      <c r="D8" s="834" t="s">
        <v>1109</v>
      </c>
      <c r="E8" s="834" t="s">
        <v>1108</v>
      </c>
      <c r="F8" s="834" t="s">
        <v>1107</v>
      </c>
      <c r="G8" s="833" t="s">
        <v>814</v>
      </c>
      <c r="H8" s="175"/>
      <c r="M8" s="562"/>
      <c r="N8" s="562"/>
    </row>
    <row r="9" spans="1:13" ht="12.75">
      <c r="A9" s="832"/>
      <c r="B9" s="830" t="s">
        <v>1106</v>
      </c>
      <c r="C9" s="831"/>
      <c r="D9" s="830" t="s">
        <v>1105</v>
      </c>
      <c r="E9" s="831"/>
      <c r="F9" s="830" t="s">
        <v>1104</v>
      </c>
      <c r="G9" s="156"/>
      <c r="H9" s="174"/>
      <c r="M9" s="245"/>
    </row>
    <row r="10" spans="1:13" ht="13.5" thickBot="1">
      <c r="A10" s="829"/>
      <c r="B10" s="482"/>
      <c r="C10" s="482"/>
      <c r="D10" s="482"/>
      <c r="E10" s="482"/>
      <c r="F10" s="482" t="s">
        <v>1103</v>
      </c>
      <c r="G10" s="828"/>
      <c r="H10" s="173"/>
      <c r="M10" s="245"/>
    </row>
    <row r="11" spans="1:8" ht="12.75">
      <c r="A11" s="827" t="s">
        <v>1102</v>
      </c>
      <c r="B11" s="826"/>
      <c r="C11" s="826"/>
      <c r="D11" s="826"/>
      <c r="E11" s="826"/>
      <c r="F11" s="826"/>
      <c r="G11" s="825"/>
      <c r="H11" s="110">
        <v>1</v>
      </c>
    </row>
    <row r="12" spans="1:8" s="26" customFormat="1" ht="12.75">
      <c r="A12" s="821" t="s">
        <v>1101</v>
      </c>
      <c r="B12" s="819">
        <v>12856</v>
      </c>
      <c r="C12" s="819">
        <v>1591490</v>
      </c>
      <c r="D12" s="819">
        <v>39599</v>
      </c>
      <c r="E12" s="819">
        <v>1980</v>
      </c>
      <c r="F12" s="819">
        <v>574565</v>
      </c>
      <c r="G12" s="817">
        <f>B12+C12+D12+E12+F12</f>
        <v>2220490</v>
      </c>
      <c r="H12" s="208">
        <v>2</v>
      </c>
    </row>
    <row r="13" spans="1:8" ht="12.75">
      <c r="A13" s="818" t="s">
        <v>1100</v>
      </c>
      <c r="B13" s="619">
        <v>3790</v>
      </c>
      <c r="C13" s="619">
        <v>44017</v>
      </c>
      <c r="D13" s="619">
        <v>8482</v>
      </c>
      <c r="E13" s="619"/>
      <c r="F13" s="619"/>
      <c r="G13" s="817">
        <f>B13+C13+D13+E13+F13</f>
        <v>56289</v>
      </c>
      <c r="H13" s="110">
        <v>3</v>
      </c>
    </row>
    <row r="14" spans="1:8" ht="12.75">
      <c r="A14" s="818" t="s">
        <v>1099</v>
      </c>
      <c r="B14" s="619">
        <v>50</v>
      </c>
      <c r="C14" s="619">
        <v>17222</v>
      </c>
      <c r="D14" s="619"/>
      <c r="E14" s="619"/>
      <c r="F14" s="619"/>
      <c r="G14" s="817">
        <f>B14+C14+D14+E14+F14</f>
        <v>17272</v>
      </c>
      <c r="H14" s="110">
        <v>4</v>
      </c>
    </row>
    <row r="15" spans="1:8" ht="12.75">
      <c r="A15" s="820" t="s">
        <v>1098</v>
      </c>
      <c r="B15" s="819">
        <f aca="true" t="shared" si="0" ref="B15:G15">B17+B18+B19+B20+B21+B22+B23+B24+B25+B26+B27+B28+B29+B31</f>
        <v>16596</v>
      </c>
      <c r="C15" s="819">
        <f t="shared" si="0"/>
        <v>1618285</v>
      </c>
      <c r="D15" s="819">
        <f t="shared" si="0"/>
        <v>48081</v>
      </c>
      <c r="E15" s="819">
        <f t="shared" si="0"/>
        <v>1980</v>
      </c>
      <c r="F15" s="819">
        <f t="shared" si="0"/>
        <v>574565</v>
      </c>
      <c r="G15" s="817">
        <f t="shared" si="0"/>
        <v>2259507</v>
      </c>
      <c r="H15" s="110">
        <v>5</v>
      </c>
    </row>
    <row r="16" spans="1:8" ht="12.75">
      <c r="A16" s="824" t="s">
        <v>1097</v>
      </c>
      <c r="B16" s="823"/>
      <c r="C16" s="823"/>
      <c r="D16" s="823"/>
      <c r="E16" s="823"/>
      <c r="F16" s="823"/>
      <c r="G16" s="822">
        <f aca="true" t="shared" si="1" ref="G16:G38">B16+C16+D16+E16+F16</f>
        <v>0</v>
      </c>
      <c r="H16" s="208">
        <v>6</v>
      </c>
    </row>
    <row r="17" spans="1:8" ht="12.75">
      <c r="A17" s="824" t="s">
        <v>1096</v>
      </c>
      <c r="B17" s="823">
        <v>632</v>
      </c>
      <c r="C17" s="823"/>
      <c r="D17" s="823">
        <v>1264</v>
      </c>
      <c r="E17" s="823"/>
      <c r="F17" s="823"/>
      <c r="G17" s="822">
        <f t="shared" si="1"/>
        <v>1896</v>
      </c>
      <c r="H17" s="110">
        <v>7</v>
      </c>
    </row>
    <row r="18" spans="1:8" ht="12.75">
      <c r="A18" s="824" t="s">
        <v>1095</v>
      </c>
      <c r="B18" s="823">
        <v>13763</v>
      </c>
      <c r="C18" s="823"/>
      <c r="D18" s="823">
        <v>26990</v>
      </c>
      <c r="E18" s="823"/>
      <c r="F18" s="823"/>
      <c r="G18" s="822">
        <f t="shared" si="1"/>
        <v>40753</v>
      </c>
      <c r="H18" s="110">
        <v>8</v>
      </c>
    </row>
    <row r="19" spans="1:8" ht="12.75">
      <c r="A19" s="824" t="s">
        <v>1094</v>
      </c>
      <c r="B19" s="823">
        <v>54</v>
      </c>
      <c r="C19" s="823"/>
      <c r="D19" s="823">
        <v>1244</v>
      </c>
      <c r="E19" s="823">
        <v>1980</v>
      </c>
      <c r="F19" s="823"/>
      <c r="G19" s="822">
        <f t="shared" si="1"/>
        <v>3278</v>
      </c>
      <c r="H19" s="110">
        <v>9</v>
      </c>
    </row>
    <row r="20" spans="1:8" ht="12.75">
      <c r="A20" s="824" t="s">
        <v>1093</v>
      </c>
      <c r="B20" s="823">
        <v>1640</v>
      </c>
      <c r="C20" s="823"/>
      <c r="D20" s="823">
        <v>9614</v>
      </c>
      <c r="E20" s="823"/>
      <c r="F20" s="823"/>
      <c r="G20" s="822">
        <f t="shared" si="1"/>
        <v>11254</v>
      </c>
      <c r="H20" s="208">
        <v>10</v>
      </c>
    </row>
    <row r="21" spans="1:8" ht="12.75">
      <c r="A21" s="824" t="s">
        <v>1092</v>
      </c>
      <c r="B21" s="823">
        <v>431</v>
      </c>
      <c r="C21" s="823"/>
      <c r="D21" s="823">
        <v>8353</v>
      </c>
      <c r="E21" s="823"/>
      <c r="F21" s="823"/>
      <c r="G21" s="822">
        <f t="shared" si="1"/>
        <v>8784</v>
      </c>
      <c r="H21" s="110">
        <v>11</v>
      </c>
    </row>
    <row r="22" spans="1:8" ht="12.75">
      <c r="A22" s="824" t="s">
        <v>1091</v>
      </c>
      <c r="B22" s="823"/>
      <c r="C22" s="823"/>
      <c r="D22" s="823"/>
      <c r="E22" s="823"/>
      <c r="F22" s="823"/>
      <c r="G22" s="822">
        <f t="shared" si="1"/>
        <v>0</v>
      </c>
      <c r="H22" s="110">
        <v>12</v>
      </c>
    </row>
    <row r="23" spans="1:8" ht="12.75">
      <c r="A23" s="824" t="s">
        <v>1090</v>
      </c>
      <c r="B23" s="823"/>
      <c r="C23" s="823"/>
      <c r="D23" s="823"/>
      <c r="E23" s="823"/>
      <c r="F23" s="823">
        <v>270251</v>
      </c>
      <c r="G23" s="822">
        <f t="shared" si="1"/>
        <v>270251</v>
      </c>
      <c r="H23" s="110">
        <v>13</v>
      </c>
    </row>
    <row r="24" spans="1:8" ht="12.75">
      <c r="A24" s="824" t="s">
        <v>1089</v>
      </c>
      <c r="B24" s="823"/>
      <c r="C24" s="823"/>
      <c r="D24" s="823"/>
      <c r="E24" s="823"/>
      <c r="F24" s="823">
        <v>9625</v>
      </c>
      <c r="G24" s="822">
        <f t="shared" si="1"/>
        <v>9625</v>
      </c>
      <c r="H24" s="208">
        <v>14</v>
      </c>
    </row>
    <row r="25" spans="1:8" ht="12.75">
      <c r="A25" s="824" t="s">
        <v>1088</v>
      </c>
      <c r="B25" s="823">
        <v>76</v>
      </c>
      <c r="C25" s="823"/>
      <c r="D25" s="823">
        <v>616</v>
      </c>
      <c r="E25" s="823"/>
      <c r="F25" s="823">
        <v>0</v>
      </c>
      <c r="G25" s="822">
        <f t="shared" si="1"/>
        <v>692</v>
      </c>
      <c r="H25" s="110">
        <v>15</v>
      </c>
    </row>
    <row r="26" spans="1:8" ht="12.75">
      <c r="A26" s="824" t="s">
        <v>1087</v>
      </c>
      <c r="B26" s="823"/>
      <c r="C26" s="823"/>
      <c r="D26" s="823"/>
      <c r="E26" s="823"/>
      <c r="F26" s="823">
        <v>29088</v>
      </c>
      <c r="G26" s="822">
        <f t="shared" si="1"/>
        <v>29088</v>
      </c>
      <c r="H26" s="110">
        <v>16</v>
      </c>
    </row>
    <row r="27" spans="1:8" ht="12.75">
      <c r="A27" s="824" t="s">
        <v>1086</v>
      </c>
      <c r="B27" s="823"/>
      <c r="C27" s="823"/>
      <c r="D27" s="823"/>
      <c r="E27" s="823"/>
      <c r="F27" s="823">
        <v>265601</v>
      </c>
      <c r="G27" s="822">
        <f t="shared" si="1"/>
        <v>265601</v>
      </c>
      <c r="H27" s="110">
        <v>17</v>
      </c>
    </row>
    <row r="28" spans="1:8" ht="12.75">
      <c r="A28" s="824" t="s">
        <v>1085</v>
      </c>
      <c r="B28" s="823"/>
      <c r="C28" s="823">
        <v>1307571</v>
      </c>
      <c r="D28" s="823"/>
      <c r="E28" s="823"/>
      <c r="F28" s="823"/>
      <c r="G28" s="822">
        <f t="shared" si="1"/>
        <v>1307571</v>
      </c>
      <c r="H28" s="208">
        <v>18</v>
      </c>
    </row>
    <row r="29" spans="1:8" ht="12.75">
      <c r="A29" s="824" t="s">
        <v>1084</v>
      </c>
      <c r="B29" s="823"/>
      <c r="C29" s="823">
        <v>298462</v>
      </c>
      <c r="D29" s="823"/>
      <c r="E29" s="823"/>
      <c r="F29" s="823"/>
      <c r="G29" s="822">
        <f t="shared" si="1"/>
        <v>298462</v>
      </c>
      <c r="H29" s="110">
        <v>19</v>
      </c>
    </row>
    <row r="30" spans="1:8" ht="12.75" hidden="1">
      <c r="A30" s="824"/>
      <c r="B30" s="823"/>
      <c r="C30" s="823"/>
      <c r="D30" s="823"/>
      <c r="E30" s="823"/>
      <c r="F30" s="823"/>
      <c r="G30" s="822">
        <f t="shared" si="1"/>
        <v>0</v>
      </c>
      <c r="H30" s="110">
        <v>20</v>
      </c>
    </row>
    <row r="31" spans="1:8" ht="12.75">
      <c r="A31" s="824" t="s">
        <v>1083</v>
      </c>
      <c r="B31" s="823"/>
      <c r="C31" s="823">
        <v>12252</v>
      </c>
      <c r="D31" s="823"/>
      <c r="E31" s="823"/>
      <c r="F31" s="823"/>
      <c r="G31" s="822">
        <f t="shared" si="1"/>
        <v>12252</v>
      </c>
      <c r="H31" s="110">
        <v>21</v>
      </c>
    </row>
    <row r="32" spans="1:8" ht="12.75">
      <c r="A32" s="820" t="s">
        <v>1082</v>
      </c>
      <c r="B32" s="619"/>
      <c r="C32" s="619"/>
      <c r="D32" s="619"/>
      <c r="E32" s="619"/>
      <c r="F32" s="619"/>
      <c r="G32" s="817">
        <f t="shared" si="1"/>
        <v>0</v>
      </c>
      <c r="H32" s="208">
        <v>22</v>
      </c>
    </row>
    <row r="33" spans="1:8" s="26" customFormat="1" ht="12.75">
      <c r="A33" s="821" t="s">
        <v>1081</v>
      </c>
      <c r="B33" s="819">
        <v>10007</v>
      </c>
      <c r="C33" s="819">
        <v>191739</v>
      </c>
      <c r="D33" s="819">
        <v>30076</v>
      </c>
      <c r="E33" s="819">
        <v>1980</v>
      </c>
      <c r="F33" s="819">
        <v>132523</v>
      </c>
      <c r="G33" s="817">
        <f t="shared" si="1"/>
        <v>366325</v>
      </c>
      <c r="H33" s="110">
        <v>23</v>
      </c>
    </row>
    <row r="34" spans="1:8" ht="12.75">
      <c r="A34" s="658" t="s">
        <v>1080</v>
      </c>
      <c r="B34" s="619">
        <v>1667</v>
      </c>
      <c r="C34" s="619">
        <v>47058</v>
      </c>
      <c r="D34" s="619">
        <v>4811</v>
      </c>
      <c r="E34" s="619"/>
      <c r="F34" s="619">
        <v>11491</v>
      </c>
      <c r="G34" s="817">
        <f t="shared" si="1"/>
        <v>65027</v>
      </c>
      <c r="H34" s="110">
        <v>24</v>
      </c>
    </row>
    <row r="35" spans="1:8" ht="12.75">
      <c r="A35" s="658" t="s">
        <v>1079</v>
      </c>
      <c r="B35" s="619">
        <v>50</v>
      </c>
      <c r="C35" s="619"/>
      <c r="D35" s="619">
        <v>0</v>
      </c>
      <c r="E35" s="619"/>
      <c r="F35" s="619"/>
      <c r="G35" s="817">
        <f t="shared" si="1"/>
        <v>50</v>
      </c>
      <c r="H35" s="110">
        <v>25</v>
      </c>
    </row>
    <row r="36" spans="1:8" ht="12.75">
      <c r="A36" s="820" t="s">
        <v>1078</v>
      </c>
      <c r="B36" s="819">
        <f>B33+B34-B35</f>
        <v>11624</v>
      </c>
      <c r="C36" s="819">
        <f>C33+C34-C35</f>
        <v>238797</v>
      </c>
      <c r="D36" s="819">
        <f>D33+D34-D35</f>
        <v>34887</v>
      </c>
      <c r="E36" s="819">
        <f>E33+E34-E35</f>
        <v>1980</v>
      </c>
      <c r="F36" s="819">
        <f>F33+F34-F35</f>
        <v>144014</v>
      </c>
      <c r="G36" s="817">
        <f t="shared" si="1"/>
        <v>431302</v>
      </c>
      <c r="H36" s="208">
        <v>26</v>
      </c>
    </row>
    <row r="37" spans="1:8" ht="12.75">
      <c r="A37" s="820" t="s">
        <v>1077</v>
      </c>
      <c r="B37" s="819">
        <f>B15-B36</f>
        <v>4972</v>
      </c>
      <c r="C37" s="819">
        <f>C15-C36</f>
        <v>1379488</v>
      </c>
      <c r="D37" s="819">
        <f>D15-D36</f>
        <v>13194</v>
      </c>
      <c r="E37" s="819">
        <v>0</v>
      </c>
      <c r="F37" s="819">
        <f>F15-F36</f>
        <v>430551</v>
      </c>
      <c r="G37" s="817">
        <f t="shared" si="1"/>
        <v>1828205</v>
      </c>
      <c r="H37" s="110">
        <v>27</v>
      </c>
    </row>
    <row r="38" spans="1:8" ht="12.75">
      <c r="A38" s="820" t="s">
        <v>1076</v>
      </c>
      <c r="B38" s="819"/>
      <c r="C38" s="819">
        <v>24080</v>
      </c>
      <c r="D38" s="819"/>
      <c r="E38" s="819"/>
      <c r="F38" s="819"/>
      <c r="G38" s="817">
        <f t="shared" si="1"/>
        <v>24080</v>
      </c>
      <c r="H38" s="110">
        <v>28</v>
      </c>
    </row>
    <row r="39" spans="1:8" ht="12.75">
      <c r="A39" s="820" t="s">
        <v>1075</v>
      </c>
      <c r="B39" s="819">
        <f aca="true" t="shared" si="2" ref="B39:G39">B37+B38</f>
        <v>4972</v>
      </c>
      <c r="C39" s="819">
        <f t="shared" si="2"/>
        <v>1403568</v>
      </c>
      <c r="D39" s="819">
        <f t="shared" si="2"/>
        <v>13194</v>
      </c>
      <c r="E39" s="819">
        <f t="shared" si="2"/>
        <v>0</v>
      </c>
      <c r="F39" s="819">
        <f t="shared" si="2"/>
        <v>430551</v>
      </c>
      <c r="G39" s="817">
        <f t="shared" si="2"/>
        <v>1852285</v>
      </c>
      <c r="H39" s="110">
        <v>29</v>
      </c>
    </row>
    <row r="40" spans="1:8" ht="12.75">
      <c r="A40" s="818"/>
      <c r="B40" s="619"/>
      <c r="C40" s="619"/>
      <c r="D40" s="619"/>
      <c r="E40" s="619"/>
      <c r="F40" s="619"/>
      <c r="G40" s="817">
        <f>B40+C40+D40+E40+F40</f>
        <v>0</v>
      </c>
      <c r="H40" s="208">
        <v>30</v>
      </c>
    </row>
    <row r="41" spans="1:8" ht="12.75">
      <c r="A41" s="818" t="s">
        <v>1074</v>
      </c>
      <c r="B41" s="819">
        <v>7958</v>
      </c>
      <c r="C41" s="819">
        <v>996</v>
      </c>
      <c r="D41" s="819">
        <v>14823</v>
      </c>
      <c r="E41" s="819">
        <v>1980</v>
      </c>
      <c r="F41" s="819"/>
      <c r="G41" s="817">
        <f>B41+C41+D41+E41+F41</f>
        <v>25757</v>
      </c>
      <c r="H41" s="110">
        <v>31</v>
      </c>
    </row>
    <row r="42" spans="1:8" ht="12.75">
      <c r="A42" s="818"/>
      <c r="B42" s="619"/>
      <c r="C42" s="619"/>
      <c r="D42" s="619"/>
      <c r="E42" s="619"/>
      <c r="F42" s="619"/>
      <c r="G42" s="817">
        <f>B42+C42+D42+E42+F42</f>
        <v>0</v>
      </c>
      <c r="H42" s="110">
        <v>32</v>
      </c>
    </row>
    <row r="43" spans="1:8" ht="12.75">
      <c r="A43" s="1730" t="s">
        <v>1073</v>
      </c>
      <c r="B43" s="1731"/>
      <c r="C43" s="1731"/>
      <c r="D43" s="1731"/>
      <c r="E43" s="1731"/>
      <c r="F43" s="1731"/>
      <c r="G43" s="1731"/>
      <c r="H43" s="110">
        <v>33</v>
      </c>
    </row>
    <row r="44" spans="1:8" ht="13.5" thickBot="1">
      <c r="A44" s="816"/>
      <c r="B44" s="815"/>
      <c r="C44" s="815"/>
      <c r="D44" s="815"/>
      <c r="E44" s="815"/>
      <c r="F44" s="815"/>
      <c r="G44" s="814">
        <f>B44+C44+D44+E44+F44</f>
        <v>0</v>
      </c>
      <c r="H44" s="208">
        <v>34</v>
      </c>
    </row>
  </sheetData>
  <sheetProtection/>
  <mergeCells count="6">
    <mergeCell ref="A1:G1"/>
    <mergeCell ref="A4:G4"/>
    <mergeCell ref="A2:G2"/>
    <mergeCell ref="A43:G43"/>
    <mergeCell ref="A7:IV7"/>
    <mergeCell ref="A3: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0">
      <selection activeCell="A10" sqref="A10:A38"/>
    </sheetView>
  </sheetViews>
  <sheetFormatPr defaultColWidth="9.140625" defaultRowHeight="12.75"/>
  <cols>
    <col min="1" max="1" width="6.8515625" style="0" customWidth="1"/>
    <col min="2" max="2" width="41.28125" style="0" customWidth="1"/>
    <col min="3" max="3" width="10.8515625" style="0" customWidth="1"/>
    <col min="5" max="5" width="13.140625" style="0" customWidth="1"/>
    <col min="7" max="7" width="15.00390625" style="0" customWidth="1"/>
    <col min="8" max="8" width="13.28125" style="0" customWidth="1"/>
  </cols>
  <sheetData>
    <row r="1" ht="8.25" customHeight="1"/>
    <row r="2" spans="2:8" ht="12.75">
      <c r="B2" s="1097" t="s">
        <v>1131</v>
      </c>
      <c r="C2" s="1097"/>
      <c r="D2" s="1097"/>
      <c r="E2" s="1097"/>
      <c r="F2" s="1097"/>
      <c r="G2" s="1097"/>
      <c r="H2" s="1097"/>
    </row>
    <row r="3" spans="2:8" ht="12" customHeight="1">
      <c r="B3" s="1097" t="s">
        <v>1130</v>
      </c>
      <c r="C3" s="1097"/>
      <c r="D3" s="1097"/>
      <c r="E3" s="1097"/>
      <c r="F3" s="1097"/>
      <c r="G3" s="1097"/>
      <c r="H3" s="1097"/>
    </row>
    <row r="4" spans="2:8" ht="11.25" customHeight="1">
      <c r="B4" s="1097" t="s">
        <v>1129</v>
      </c>
      <c r="C4" s="1097"/>
      <c r="D4" s="1097"/>
      <c r="E4" s="1097"/>
      <c r="F4" s="1097"/>
      <c r="G4" s="1097"/>
      <c r="H4" s="1097"/>
    </row>
    <row r="5" ht="10.5" customHeight="1" thickBot="1">
      <c r="H5" s="245" t="s">
        <v>4</v>
      </c>
    </row>
    <row r="6" spans="1:8" ht="12" customHeight="1" thickBot="1">
      <c r="A6" s="1110"/>
      <c r="B6" s="101" t="s">
        <v>41</v>
      </c>
      <c r="C6" s="636" t="s">
        <v>27</v>
      </c>
      <c r="D6" s="636" t="s">
        <v>28</v>
      </c>
      <c r="E6" s="636" t="s">
        <v>29</v>
      </c>
      <c r="F6" s="636" t="s">
        <v>30</v>
      </c>
      <c r="G6" s="636" t="s">
        <v>439</v>
      </c>
      <c r="H6" s="634" t="s">
        <v>438</v>
      </c>
    </row>
    <row r="7" spans="1:8" ht="12" customHeight="1">
      <c r="A7" s="1111"/>
      <c r="B7" s="855" t="s">
        <v>1112</v>
      </c>
      <c r="C7" s="853" t="s">
        <v>1111</v>
      </c>
      <c r="D7" s="854" t="s">
        <v>1110</v>
      </c>
      <c r="E7" s="853" t="s">
        <v>1109</v>
      </c>
      <c r="F7" s="853" t="s">
        <v>1108</v>
      </c>
      <c r="G7" s="853" t="s">
        <v>1107</v>
      </c>
      <c r="H7" s="852" t="s">
        <v>814</v>
      </c>
    </row>
    <row r="8" spans="1:8" ht="10.5" customHeight="1">
      <c r="A8" s="1111"/>
      <c r="B8" s="17"/>
      <c r="C8" s="372" t="s">
        <v>1106</v>
      </c>
      <c r="D8" s="695"/>
      <c r="E8" s="372" t="s">
        <v>1105</v>
      </c>
      <c r="F8" s="695"/>
      <c r="G8" s="372" t="s">
        <v>1104</v>
      </c>
      <c r="H8" s="851"/>
    </row>
    <row r="9" spans="1:8" ht="11.25" customHeight="1" thickBot="1">
      <c r="A9" s="1112"/>
      <c r="B9" s="850"/>
      <c r="C9" s="849"/>
      <c r="D9" s="849"/>
      <c r="E9" s="849"/>
      <c r="F9" s="849"/>
      <c r="G9" s="670" t="s">
        <v>1103</v>
      </c>
      <c r="H9" s="848"/>
    </row>
    <row r="10" spans="1:8" ht="11.25" customHeight="1">
      <c r="A10" s="306">
        <v>1</v>
      </c>
      <c r="B10" s="847" t="s">
        <v>1102</v>
      </c>
      <c r="C10" s="826"/>
      <c r="D10" s="826"/>
      <c r="E10" s="826"/>
      <c r="F10" s="826"/>
      <c r="G10" s="826"/>
      <c r="H10" s="846"/>
    </row>
    <row r="11" spans="1:8" ht="12.75">
      <c r="A11" s="110">
        <v>2</v>
      </c>
      <c r="B11" s="821" t="s">
        <v>1101</v>
      </c>
      <c r="C11" s="819">
        <v>12856</v>
      </c>
      <c r="D11" s="819">
        <v>1591490</v>
      </c>
      <c r="E11" s="819">
        <v>39599</v>
      </c>
      <c r="F11" s="819">
        <v>1980</v>
      </c>
      <c r="G11" s="819">
        <v>574565</v>
      </c>
      <c r="H11" s="839">
        <f>C11+D11+E11+F11+G11</f>
        <v>2220490</v>
      </c>
    </row>
    <row r="12" spans="1:8" ht="12.75">
      <c r="A12" s="110">
        <v>3</v>
      </c>
      <c r="B12" s="818" t="s">
        <v>1100</v>
      </c>
      <c r="C12" s="619">
        <v>3790</v>
      </c>
      <c r="D12" s="619">
        <v>44017</v>
      </c>
      <c r="E12" s="619">
        <v>8482</v>
      </c>
      <c r="F12" s="619"/>
      <c r="G12" s="619"/>
      <c r="H12" s="839">
        <f>C12+D12+E12+F12+G12</f>
        <v>56289</v>
      </c>
    </row>
    <row r="13" spans="1:8" ht="12.75">
      <c r="A13" s="110">
        <v>4</v>
      </c>
      <c r="B13" s="818" t="s">
        <v>1099</v>
      </c>
      <c r="C13" s="619">
        <v>50</v>
      </c>
      <c r="D13" s="619">
        <v>17222</v>
      </c>
      <c r="E13" s="619"/>
      <c r="F13" s="619"/>
      <c r="G13" s="619"/>
      <c r="H13" s="839">
        <f>C13+D13+E13+F13+G13</f>
        <v>17272</v>
      </c>
    </row>
    <row r="14" spans="1:8" ht="12.75">
      <c r="A14" s="306">
        <v>5</v>
      </c>
      <c r="B14" s="842" t="s">
        <v>1098</v>
      </c>
      <c r="C14" s="841">
        <f aca="true" t="shared" si="0" ref="C14:H14">C15+C16+C17+C18+C19+C20+C21+C22+C23+C24+C25+C26+C27+C28</f>
        <v>16596</v>
      </c>
      <c r="D14" s="841">
        <f t="shared" si="0"/>
        <v>1618285</v>
      </c>
      <c r="E14" s="841">
        <f t="shared" si="0"/>
        <v>48081</v>
      </c>
      <c r="F14" s="841">
        <f t="shared" si="0"/>
        <v>1980</v>
      </c>
      <c r="G14" s="841">
        <f t="shared" si="0"/>
        <v>574565</v>
      </c>
      <c r="H14" s="840">
        <f t="shared" si="0"/>
        <v>2259507</v>
      </c>
    </row>
    <row r="15" spans="1:8" ht="12.75">
      <c r="A15" s="110">
        <v>6</v>
      </c>
      <c r="B15" s="824" t="s">
        <v>1128</v>
      </c>
      <c r="C15" s="823">
        <v>632</v>
      </c>
      <c r="D15" s="823"/>
      <c r="E15" s="823">
        <v>1264</v>
      </c>
      <c r="F15" s="823"/>
      <c r="G15" s="823"/>
      <c r="H15" s="845">
        <f aca="true" t="shared" si="1" ref="H15:H35">C15+D15+E15+F15+G15</f>
        <v>1896</v>
      </c>
    </row>
    <row r="16" spans="1:8" ht="12.75">
      <c r="A16" s="110">
        <v>7</v>
      </c>
      <c r="B16" s="824" t="s">
        <v>1127</v>
      </c>
      <c r="C16" s="823">
        <v>13763</v>
      </c>
      <c r="D16" s="823"/>
      <c r="E16" s="823">
        <v>26990</v>
      </c>
      <c r="F16" s="823"/>
      <c r="G16" s="823"/>
      <c r="H16" s="845">
        <f t="shared" si="1"/>
        <v>40753</v>
      </c>
    </row>
    <row r="17" spans="1:8" ht="12.75">
      <c r="A17" s="110">
        <v>8</v>
      </c>
      <c r="B17" s="824" t="s">
        <v>1126</v>
      </c>
      <c r="C17" s="823">
        <v>54</v>
      </c>
      <c r="D17" s="823"/>
      <c r="E17" s="823">
        <v>1244</v>
      </c>
      <c r="F17" s="823">
        <v>1980</v>
      </c>
      <c r="G17" s="823"/>
      <c r="H17" s="845">
        <f t="shared" si="1"/>
        <v>3278</v>
      </c>
    </row>
    <row r="18" spans="1:8" ht="12.75">
      <c r="A18" s="306">
        <v>9</v>
      </c>
      <c r="B18" s="824" t="s">
        <v>1125</v>
      </c>
      <c r="C18" s="823">
        <v>1640</v>
      </c>
      <c r="D18" s="823"/>
      <c r="E18" s="823">
        <v>9614</v>
      </c>
      <c r="F18" s="823"/>
      <c r="G18" s="823"/>
      <c r="H18" s="845">
        <f t="shared" si="1"/>
        <v>11254</v>
      </c>
    </row>
    <row r="19" spans="1:8" ht="12.75">
      <c r="A19" s="110">
        <v>10</v>
      </c>
      <c r="B19" s="824" t="s">
        <v>1124</v>
      </c>
      <c r="C19" s="823">
        <v>431</v>
      </c>
      <c r="D19" s="823"/>
      <c r="E19" s="823">
        <v>8353</v>
      </c>
      <c r="F19" s="823"/>
      <c r="G19" s="823"/>
      <c r="H19" s="845">
        <f t="shared" si="1"/>
        <v>8784</v>
      </c>
    </row>
    <row r="20" spans="1:8" ht="12.75">
      <c r="A20" s="110">
        <v>11</v>
      </c>
      <c r="B20" s="824" t="s">
        <v>1123</v>
      </c>
      <c r="C20" s="823"/>
      <c r="D20" s="823"/>
      <c r="E20" s="823"/>
      <c r="F20" s="823"/>
      <c r="G20" s="823"/>
      <c r="H20" s="845">
        <f t="shared" si="1"/>
        <v>0</v>
      </c>
    </row>
    <row r="21" spans="1:8" ht="12.75">
      <c r="A21" s="110">
        <v>12</v>
      </c>
      <c r="B21" s="824" t="s">
        <v>1122</v>
      </c>
      <c r="C21" s="823"/>
      <c r="D21" s="823"/>
      <c r="E21" s="823"/>
      <c r="F21" s="823"/>
      <c r="G21" s="823">
        <v>270251</v>
      </c>
      <c r="H21" s="845">
        <f t="shared" si="1"/>
        <v>270251</v>
      </c>
    </row>
    <row r="22" spans="1:8" ht="12.75">
      <c r="A22" s="306">
        <v>13</v>
      </c>
      <c r="B22" s="824" t="s">
        <v>1121</v>
      </c>
      <c r="C22" s="823"/>
      <c r="D22" s="823"/>
      <c r="E22" s="823"/>
      <c r="F22" s="823"/>
      <c r="G22" s="823">
        <v>9625</v>
      </c>
      <c r="H22" s="845">
        <f t="shared" si="1"/>
        <v>9625</v>
      </c>
    </row>
    <row r="23" spans="1:8" ht="12.75">
      <c r="A23" s="110">
        <v>14</v>
      </c>
      <c r="B23" s="824" t="s">
        <v>1120</v>
      </c>
      <c r="C23" s="823">
        <v>76</v>
      </c>
      <c r="D23" s="823"/>
      <c r="E23" s="823">
        <v>616</v>
      </c>
      <c r="F23" s="823"/>
      <c r="G23" s="823">
        <v>0</v>
      </c>
      <c r="H23" s="845">
        <f t="shared" si="1"/>
        <v>692</v>
      </c>
    </row>
    <row r="24" spans="1:8" ht="12.75">
      <c r="A24" s="110">
        <v>15</v>
      </c>
      <c r="B24" s="824" t="s">
        <v>1119</v>
      </c>
      <c r="C24" s="823"/>
      <c r="D24" s="823"/>
      <c r="E24" s="823"/>
      <c r="F24" s="823"/>
      <c r="G24" s="823">
        <v>29088</v>
      </c>
      <c r="H24" s="845">
        <f t="shared" si="1"/>
        <v>29088</v>
      </c>
    </row>
    <row r="25" spans="1:8" ht="12.75">
      <c r="A25" s="110">
        <v>16</v>
      </c>
      <c r="B25" s="824" t="s">
        <v>1118</v>
      </c>
      <c r="C25" s="823"/>
      <c r="D25" s="823"/>
      <c r="E25" s="823"/>
      <c r="F25" s="823"/>
      <c r="G25" s="823">
        <v>265601</v>
      </c>
      <c r="H25" s="845">
        <f t="shared" si="1"/>
        <v>265601</v>
      </c>
    </row>
    <row r="26" spans="1:8" ht="12.75">
      <c r="A26" s="306">
        <v>17</v>
      </c>
      <c r="B26" s="824" t="s">
        <v>1085</v>
      </c>
      <c r="C26" s="823"/>
      <c r="D26" s="823">
        <v>1307571</v>
      </c>
      <c r="E26" s="823"/>
      <c r="F26" s="823"/>
      <c r="G26" s="823"/>
      <c r="H26" s="845">
        <f t="shared" si="1"/>
        <v>1307571</v>
      </c>
    </row>
    <row r="27" spans="1:8" ht="12.75">
      <c r="A27" s="110">
        <v>18</v>
      </c>
      <c r="B27" s="824" t="s">
        <v>1084</v>
      </c>
      <c r="C27" s="823"/>
      <c r="D27" s="823">
        <v>298462</v>
      </c>
      <c r="E27" s="823"/>
      <c r="F27" s="823"/>
      <c r="G27" s="823"/>
      <c r="H27" s="845">
        <f t="shared" si="1"/>
        <v>298462</v>
      </c>
    </row>
    <row r="28" spans="1:8" ht="12.75">
      <c r="A28" s="110">
        <v>19</v>
      </c>
      <c r="B28" s="824" t="s">
        <v>1083</v>
      </c>
      <c r="C28" s="823"/>
      <c r="D28" s="823">
        <v>12252</v>
      </c>
      <c r="E28" s="823"/>
      <c r="F28" s="823"/>
      <c r="G28" s="823"/>
      <c r="H28" s="845">
        <f t="shared" si="1"/>
        <v>12252</v>
      </c>
    </row>
    <row r="29" spans="1:8" ht="12.75">
      <c r="A29" s="110">
        <v>20</v>
      </c>
      <c r="B29" s="842" t="s">
        <v>1082</v>
      </c>
      <c r="C29" s="844"/>
      <c r="D29" s="844"/>
      <c r="E29" s="844"/>
      <c r="F29" s="844"/>
      <c r="G29" s="844"/>
      <c r="H29" s="840">
        <f t="shared" si="1"/>
        <v>0</v>
      </c>
    </row>
    <row r="30" spans="1:8" ht="12.75">
      <c r="A30" s="306">
        <v>21</v>
      </c>
      <c r="B30" s="821" t="s">
        <v>1081</v>
      </c>
      <c r="C30" s="819">
        <v>10007</v>
      </c>
      <c r="D30" s="819">
        <v>191739</v>
      </c>
      <c r="E30" s="819">
        <v>30076</v>
      </c>
      <c r="F30" s="819">
        <v>1980</v>
      </c>
      <c r="G30" s="819">
        <v>132523</v>
      </c>
      <c r="H30" s="839">
        <f t="shared" si="1"/>
        <v>366325</v>
      </c>
    </row>
    <row r="31" spans="1:8" ht="12.75">
      <c r="A31" s="110">
        <v>22</v>
      </c>
      <c r="B31" s="658" t="s">
        <v>1080</v>
      </c>
      <c r="C31" s="619">
        <v>1667</v>
      </c>
      <c r="D31" s="619">
        <v>47058</v>
      </c>
      <c r="E31" s="619">
        <v>4811</v>
      </c>
      <c r="F31" s="619"/>
      <c r="G31" s="619">
        <v>11491</v>
      </c>
      <c r="H31" s="839">
        <f t="shared" si="1"/>
        <v>65027</v>
      </c>
    </row>
    <row r="32" spans="1:8" ht="12.75">
      <c r="A32" s="110">
        <v>23</v>
      </c>
      <c r="B32" s="658" t="s">
        <v>1079</v>
      </c>
      <c r="C32" s="619">
        <v>50</v>
      </c>
      <c r="D32" s="619"/>
      <c r="E32" s="619">
        <v>0</v>
      </c>
      <c r="F32" s="619"/>
      <c r="G32" s="619"/>
      <c r="H32" s="839">
        <f t="shared" si="1"/>
        <v>50</v>
      </c>
    </row>
    <row r="33" spans="1:8" ht="12.75">
      <c r="A33" s="110">
        <v>24</v>
      </c>
      <c r="B33" s="842" t="s">
        <v>1078</v>
      </c>
      <c r="C33" s="841">
        <f>C30+C31-C32</f>
        <v>11624</v>
      </c>
      <c r="D33" s="841">
        <f>D30+D31-D32</f>
        <v>238797</v>
      </c>
      <c r="E33" s="841">
        <f>E30+E31-E32</f>
        <v>34887</v>
      </c>
      <c r="F33" s="841">
        <f>F30+F31-F32</f>
        <v>1980</v>
      </c>
      <c r="G33" s="841">
        <f>G30+G31-G32</f>
        <v>144014</v>
      </c>
      <c r="H33" s="840">
        <f t="shared" si="1"/>
        <v>431302</v>
      </c>
    </row>
    <row r="34" spans="1:8" ht="12.75">
      <c r="A34" s="306">
        <v>25</v>
      </c>
      <c r="B34" s="843" t="s">
        <v>1117</v>
      </c>
      <c r="C34" s="819">
        <f>C14-C33</f>
        <v>4972</v>
      </c>
      <c r="D34" s="819">
        <f>D14-D33</f>
        <v>1379488</v>
      </c>
      <c r="E34" s="819">
        <f>E14-E33</f>
        <v>13194</v>
      </c>
      <c r="F34" s="819">
        <v>0</v>
      </c>
      <c r="G34" s="819">
        <f>G14-G33</f>
        <v>430551</v>
      </c>
      <c r="H34" s="839">
        <f t="shared" si="1"/>
        <v>1828205</v>
      </c>
    </row>
    <row r="35" spans="1:8" ht="12.75">
      <c r="A35" s="110">
        <v>26</v>
      </c>
      <c r="B35" s="820" t="s">
        <v>1076</v>
      </c>
      <c r="C35" s="819"/>
      <c r="D35" s="819">
        <v>24080</v>
      </c>
      <c r="E35" s="819"/>
      <c r="F35" s="819"/>
      <c r="G35" s="819"/>
      <c r="H35" s="839">
        <f t="shared" si="1"/>
        <v>24080</v>
      </c>
    </row>
    <row r="36" spans="1:8" ht="12.75">
      <c r="A36" s="110">
        <v>27</v>
      </c>
      <c r="B36" s="842" t="s">
        <v>1075</v>
      </c>
      <c r="C36" s="841">
        <f aca="true" t="shared" si="2" ref="C36:H36">C34+C35</f>
        <v>4972</v>
      </c>
      <c r="D36" s="841">
        <f t="shared" si="2"/>
        <v>1403568</v>
      </c>
      <c r="E36" s="841">
        <f t="shared" si="2"/>
        <v>13194</v>
      </c>
      <c r="F36" s="841">
        <f t="shared" si="2"/>
        <v>0</v>
      </c>
      <c r="G36" s="841">
        <f t="shared" si="2"/>
        <v>430551</v>
      </c>
      <c r="H36" s="840">
        <f t="shared" si="2"/>
        <v>1852285</v>
      </c>
    </row>
    <row r="37" spans="1:8" ht="12.75">
      <c r="A37" s="110">
        <v>28</v>
      </c>
      <c r="B37" s="658" t="s">
        <v>1116</v>
      </c>
      <c r="C37" s="819">
        <v>7958</v>
      </c>
      <c r="D37" s="819">
        <v>996</v>
      </c>
      <c r="E37" s="819">
        <v>14823</v>
      </c>
      <c r="F37" s="819">
        <v>1980</v>
      </c>
      <c r="G37" s="819"/>
      <c r="H37" s="839">
        <f>C37+D37+E37+F37+G37</f>
        <v>25757</v>
      </c>
    </row>
    <row r="38" spans="1:8" ht="9.75" customHeight="1">
      <c r="A38" s="306">
        <v>29</v>
      </c>
      <c r="B38" s="1732" t="s">
        <v>1073</v>
      </c>
      <c r="C38" s="1733"/>
      <c r="D38" s="1733"/>
      <c r="E38" s="1733"/>
      <c r="F38" s="1733"/>
      <c r="G38" s="1733"/>
      <c r="H38" s="1734"/>
    </row>
  </sheetData>
  <sheetProtection/>
  <mergeCells count="5">
    <mergeCell ref="B38:H38"/>
    <mergeCell ref="B2:H2"/>
    <mergeCell ref="B3:H3"/>
    <mergeCell ref="B4:H4"/>
    <mergeCell ref="A6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7" sqref="A7:H64"/>
    </sheetView>
  </sheetViews>
  <sheetFormatPr defaultColWidth="9.140625" defaultRowHeight="12.75"/>
  <cols>
    <col min="1" max="1" width="42.421875" style="0" bestFit="1" customWidth="1"/>
    <col min="2" max="2" width="5.8515625" style="0" customWidth="1"/>
    <col min="3" max="3" width="34.00390625" style="0" customWidth="1"/>
    <col min="5" max="5" width="10.8515625" style="0" customWidth="1"/>
    <col min="6" max="6" width="11.28125" style="0" customWidth="1"/>
  </cols>
  <sheetData>
    <row r="1" s="876" customFormat="1" ht="12.75">
      <c r="G1" s="876" t="s">
        <v>227</v>
      </c>
    </row>
    <row r="2" s="1729" customFormat="1" ht="12.75">
      <c r="A2" s="1729" t="s">
        <v>1184</v>
      </c>
    </row>
    <row r="3" s="1692" customFormat="1" ht="12.75">
      <c r="A3" s="1745" t="s">
        <v>1183</v>
      </c>
    </row>
    <row r="4" s="1692" customFormat="1" ht="12.75">
      <c r="A4" s="1746" t="s">
        <v>1182</v>
      </c>
    </row>
    <row r="5" ht="12.75">
      <c r="A5" s="480"/>
    </row>
    <row r="6" spans="1:6" ht="12.75">
      <c r="A6" s="480"/>
      <c r="F6" s="787" t="s">
        <v>1001</v>
      </c>
    </row>
    <row r="7" spans="1:8" ht="12.75">
      <c r="A7" s="110" t="s">
        <v>41</v>
      </c>
      <c r="B7" s="110" t="s">
        <v>27</v>
      </c>
      <c r="C7" s="110" t="s">
        <v>28</v>
      </c>
      <c r="D7" s="110" t="s">
        <v>29</v>
      </c>
      <c r="E7" s="110" t="s">
        <v>30</v>
      </c>
      <c r="F7" s="110" t="s">
        <v>439</v>
      </c>
      <c r="G7" s="135" t="s">
        <v>438</v>
      </c>
      <c r="H7" s="1749" t="s">
        <v>919</v>
      </c>
    </row>
    <row r="8" spans="1:8" ht="12.75">
      <c r="A8" s="1747" t="s">
        <v>1157</v>
      </c>
      <c r="B8" s="1753" t="s">
        <v>1156</v>
      </c>
      <c r="C8" s="1754"/>
      <c r="D8" s="1754"/>
      <c r="E8" s="1754"/>
      <c r="F8" s="1754"/>
      <c r="G8" s="1754"/>
      <c r="H8" s="1175"/>
    </row>
    <row r="9" spans="1:8" ht="13.5" thickBot="1">
      <c r="A9" s="1747"/>
      <c r="B9" s="1755" t="s">
        <v>1181</v>
      </c>
      <c r="C9" s="1756"/>
      <c r="D9" s="1756"/>
      <c r="E9" s="1756"/>
      <c r="F9" s="1756"/>
      <c r="G9" s="1756"/>
      <c r="H9" s="1175"/>
    </row>
    <row r="10" spans="1:8" ht="13.5" thickBot="1">
      <c r="A10" s="1748"/>
      <c r="B10" s="644" t="s">
        <v>1154</v>
      </c>
      <c r="C10" s="643" t="s">
        <v>1153</v>
      </c>
      <c r="D10" s="643" t="s">
        <v>1152</v>
      </c>
      <c r="E10" s="875">
        <v>39813</v>
      </c>
      <c r="F10" s="874">
        <v>40178</v>
      </c>
      <c r="G10" s="645" t="s">
        <v>1180</v>
      </c>
      <c r="H10" s="1176"/>
    </row>
    <row r="11" spans="1:8" ht="12.75">
      <c r="A11" s="866" t="s">
        <v>1179</v>
      </c>
      <c r="B11" s="865" t="s">
        <v>1137</v>
      </c>
      <c r="C11" s="865" t="s">
        <v>1177</v>
      </c>
      <c r="D11" s="865" t="s">
        <v>466</v>
      </c>
      <c r="E11" s="865">
        <v>71</v>
      </c>
      <c r="F11" s="865">
        <v>72</v>
      </c>
      <c r="G11" s="873">
        <f>F11/E11*100</f>
        <v>101.40845070422534</v>
      </c>
      <c r="H11" s="305">
        <v>1</v>
      </c>
    </row>
    <row r="12" spans="1:8" ht="12.75">
      <c r="A12" s="860"/>
      <c r="B12" s="168" t="s">
        <v>1134</v>
      </c>
      <c r="C12" s="168" t="s">
        <v>1176</v>
      </c>
      <c r="D12" s="168" t="s">
        <v>1175</v>
      </c>
      <c r="E12" s="168">
        <v>15573</v>
      </c>
      <c r="F12" s="168">
        <v>15931</v>
      </c>
      <c r="G12" s="872">
        <f>F12/E12*100</f>
        <v>102.29885057471265</v>
      </c>
      <c r="H12" s="305">
        <v>2</v>
      </c>
    </row>
    <row r="13" spans="1:8" ht="12.75">
      <c r="A13" s="860"/>
      <c r="B13" s="168"/>
      <c r="C13" s="168"/>
      <c r="D13" s="168"/>
      <c r="E13" s="168"/>
      <c r="F13" s="168"/>
      <c r="G13" s="872"/>
      <c r="H13" s="305"/>
    </row>
    <row r="14" spans="1:8" ht="12.75">
      <c r="A14" s="860" t="s">
        <v>1178</v>
      </c>
      <c r="B14" s="168" t="s">
        <v>1137</v>
      </c>
      <c r="C14" s="168" t="s">
        <v>1177</v>
      </c>
      <c r="D14" s="168" t="s">
        <v>466</v>
      </c>
      <c r="E14" s="168">
        <v>95</v>
      </c>
      <c r="F14" s="168">
        <v>118</v>
      </c>
      <c r="G14" s="872">
        <f>F14/E14*100</f>
        <v>124.21052631578948</v>
      </c>
      <c r="H14" s="305">
        <v>3</v>
      </c>
    </row>
    <row r="15" spans="1:8" ht="12.75">
      <c r="A15" s="860"/>
      <c r="B15" s="168" t="s">
        <v>1134</v>
      </c>
      <c r="C15" s="168" t="s">
        <v>1176</v>
      </c>
      <c r="D15" s="168" t="s">
        <v>1175</v>
      </c>
      <c r="E15" s="168">
        <v>17606</v>
      </c>
      <c r="F15" s="168">
        <v>21829</v>
      </c>
      <c r="G15" s="872">
        <f>F15/E15*100</f>
        <v>123.98614108826536</v>
      </c>
      <c r="H15" s="305">
        <v>4</v>
      </c>
    </row>
    <row r="16" spans="1:8" ht="12.75">
      <c r="A16" s="860"/>
      <c r="B16" s="168"/>
      <c r="C16" s="168"/>
      <c r="D16" s="168"/>
      <c r="E16" s="748"/>
      <c r="F16" s="748"/>
      <c r="G16" s="872"/>
      <c r="H16" s="305"/>
    </row>
    <row r="17" spans="1:8" ht="12.75">
      <c r="A17" s="860" t="s">
        <v>1174</v>
      </c>
      <c r="B17" s="168" t="s">
        <v>1137</v>
      </c>
      <c r="C17" s="168" t="s">
        <v>1173</v>
      </c>
      <c r="D17" s="168" t="s">
        <v>466</v>
      </c>
      <c r="E17" s="168">
        <v>142</v>
      </c>
      <c r="F17" s="168">
        <v>139</v>
      </c>
      <c r="G17" s="872">
        <f>F17/E17*100</f>
        <v>97.88732394366197</v>
      </c>
      <c r="H17" s="305">
        <v>5</v>
      </c>
    </row>
    <row r="18" spans="1:8" ht="12.75">
      <c r="A18" s="860"/>
      <c r="B18" s="168" t="s">
        <v>1134</v>
      </c>
      <c r="C18" s="168" t="s">
        <v>1172</v>
      </c>
      <c r="D18" s="168" t="s">
        <v>1135</v>
      </c>
      <c r="E18" s="168">
        <v>125</v>
      </c>
      <c r="F18" s="168">
        <v>125</v>
      </c>
      <c r="G18" s="872">
        <f>F18/E18*100</f>
        <v>100</v>
      </c>
      <c r="H18" s="305">
        <v>6</v>
      </c>
    </row>
    <row r="19" spans="1:8" ht="12.75">
      <c r="A19" s="860"/>
      <c r="B19" s="168"/>
      <c r="C19" s="168"/>
      <c r="D19" s="168"/>
      <c r="E19" s="748"/>
      <c r="F19" s="748"/>
      <c r="G19" s="872"/>
      <c r="H19" s="305"/>
    </row>
    <row r="20" spans="1:8" ht="12.75">
      <c r="A20" s="860" t="s">
        <v>1171</v>
      </c>
      <c r="B20" s="168" t="s">
        <v>1137</v>
      </c>
      <c r="C20" s="168" t="s">
        <v>1166</v>
      </c>
      <c r="D20" s="168" t="s">
        <v>466</v>
      </c>
      <c r="E20" s="168">
        <v>302</v>
      </c>
      <c r="F20" s="168">
        <v>300</v>
      </c>
      <c r="G20" s="872">
        <f>F20/E20*100</f>
        <v>99.33774834437085</v>
      </c>
      <c r="H20" s="305">
        <v>7</v>
      </c>
    </row>
    <row r="21" spans="1:8" ht="12.75">
      <c r="A21" s="860"/>
      <c r="B21" s="168" t="s">
        <v>1134</v>
      </c>
      <c r="C21" s="168" t="s">
        <v>1165</v>
      </c>
      <c r="D21" s="168" t="s">
        <v>1132</v>
      </c>
      <c r="E21" s="168">
        <v>17</v>
      </c>
      <c r="F21" s="168">
        <v>16</v>
      </c>
      <c r="G21" s="872">
        <f>F21/E21*100</f>
        <v>94.11764705882352</v>
      </c>
      <c r="H21" s="305">
        <v>8</v>
      </c>
    </row>
    <row r="22" spans="1:8" ht="12.75">
      <c r="A22" s="860"/>
      <c r="B22" s="168"/>
      <c r="C22" s="168"/>
      <c r="D22" s="168"/>
      <c r="E22" s="168"/>
      <c r="F22" s="168"/>
      <c r="G22" s="872"/>
      <c r="H22" s="305"/>
    </row>
    <row r="23" spans="1:8" ht="12.75">
      <c r="A23" s="860" t="s">
        <v>1170</v>
      </c>
      <c r="B23" s="168" t="s">
        <v>1137</v>
      </c>
      <c r="C23" s="168" t="s">
        <v>1169</v>
      </c>
      <c r="D23" s="168" t="s">
        <v>1168</v>
      </c>
      <c r="E23" s="168">
        <v>109</v>
      </c>
      <c r="F23" s="168">
        <v>155</v>
      </c>
      <c r="G23" s="872">
        <f>F23/E23*100</f>
        <v>142.2018348623853</v>
      </c>
      <c r="H23" s="305">
        <v>9</v>
      </c>
    </row>
    <row r="24" spans="1:8" ht="12.75">
      <c r="A24" s="860"/>
      <c r="B24" s="168" t="s">
        <v>1134</v>
      </c>
      <c r="C24" s="168" t="s">
        <v>1165</v>
      </c>
      <c r="D24" s="168" t="s">
        <v>1135</v>
      </c>
      <c r="E24" s="168">
        <v>12</v>
      </c>
      <c r="F24" s="168">
        <v>17</v>
      </c>
      <c r="G24" s="872">
        <f>F24/E24*100</f>
        <v>141.66666666666669</v>
      </c>
      <c r="H24" s="305">
        <v>10</v>
      </c>
    </row>
    <row r="25" spans="1:8" ht="12.75">
      <c r="A25" s="860"/>
      <c r="B25" s="168"/>
      <c r="C25" s="168"/>
      <c r="D25" s="168"/>
      <c r="E25" s="168"/>
      <c r="F25" s="168"/>
      <c r="G25" s="872"/>
      <c r="H25" s="305"/>
    </row>
    <row r="26" spans="1:8" ht="12.75">
      <c r="A26" s="860" t="s">
        <v>1167</v>
      </c>
      <c r="B26" s="168" t="s">
        <v>1137</v>
      </c>
      <c r="C26" s="168" t="s">
        <v>1166</v>
      </c>
      <c r="D26" s="168" t="s">
        <v>466</v>
      </c>
      <c r="E26" s="168">
        <v>32</v>
      </c>
      <c r="F26" s="168">
        <v>38</v>
      </c>
      <c r="G26" s="872">
        <f>F26/E26*100</f>
        <v>118.75</v>
      </c>
      <c r="H26" s="305">
        <v>11</v>
      </c>
    </row>
    <row r="27" spans="1:8" ht="12.75">
      <c r="A27" s="860"/>
      <c r="B27" s="168" t="s">
        <v>1134</v>
      </c>
      <c r="C27" s="168" t="s">
        <v>1165</v>
      </c>
      <c r="D27" s="168" t="s">
        <v>1135</v>
      </c>
      <c r="E27" s="168">
        <v>2</v>
      </c>
      <c r="F27" s="168">
        <v>2</v>
      </c>
      <c r="G27" s="872">
        <f>F27/E27*100</f>
        <v>100</v>
      </c>
      <c r="H27" s="305">
        <v>12</v>
      </c>
    </row>
    <row r="28" spans="1:8" ht="12.75">
      <c r="A28" s="860"/>
      <c r="B28" s="168"/>
      <c r="C28" s="168"/>
      <c r="D28" s="168"/>
      <c r="E28" s="168"/>
      <c r="F28" s="168"/>
      <c r="G28" s="872"/>
      <c r="H28" s="305"/>
    </row>
    <row r="29" spans="1:8" ht="12.75">
      <c r="A29" s="860" t="s">
        <v>1164</v>
      </c>
      <c r="B29" s="168" t="s">
        <v>1137</v>
      </c>
      <c r="C29" s="168" t="s">
        <v>1163</v>
      </c>
      <c r="D29" s="168" t="s">
        <v>1135</v>
      </c>
      <c r="E29" s="168">
        <v>13</v>
      </c>
      <c r="F29" s="168">
        <v>16</v>
      </c>
      <c r="G29" s="872">
        <f>F29/E29*100</f>
        <v>123.07692307692308</v>
      </c>
      <c r="H29" s="305">
        <v>13</v>
      </c>
    </row>
    <row r="30" spans="1:8" ht="12.75">
      <c r="A30" s="860"/>
      <c r="B30" s="168" t="s">
        <v>1134</v>
      </c>
      <c r="C30" s="168" t="s">
        <v>1162</v>
      </c>
      <c r="D30" s="168" t="s">
        <v>466</v>
      </c>
      <c r="E30" s="168">
        <v>1</v>
      </c>
      <c r="F30" s="168">
        <v>1</v>
      </c>
      <c r="G30" s="872">
        <f>F30/E30*100</f>
        <v>100</v>
      </c>
      <c r="H30" s="305">
        <v>14</v>
      </c>
    </row>
    <row r="31" spans="1:8" ht="12.75">
      <c r="A31" s="860"/>
      <c r="B31" s="168"/>
      <c r="C31" s="168"/>
      <c r="D31" s="168"/>
      <c r="E31" s="168"/>
      <c r="F31" s="168"/>
      <c r="G31" s="872"/>
      <c r="H31" s="305"/>
    </row>
    <row r="32" spans="1:8" ht="12.75">
      <c r="A32" s="860" t="s">
        <v>1161</v>
      </c>
      <c r="B32" s="168" t="s">
        <v>1137</v>
      </c>
      <c r="C32" s="168" t="s">
        <v>1160</v>
      </c>
      <c r="D32" s="168" t="s">
        <v>1135</v>
      </c>
      <c r="E32" s="168">
        <v>2</v>
      </c>
      <c r="F32" s="168">
        <v>2</v>
      </c>
      <c r="G32" s="872">
        <f>F32/E32*100</f>
        <v>100</v>
      </c>
      <c r="H32" s="305">
        <v>15</v>
      </c>
    </row>
    <row r="33" spans="1:8" ht="12.75">
      <c r="A33" s="860"/>
      <c r="B33" s="168" t="s">
        <v>1134</v>
      </c>
      <c r="C33" s="168" t="s">
        <v>1159</v>
      </c>
      <c r="D33" s="168" t="s">
        <v>466</v>
      </c>
      <c r="E33" s="168">
        <v>1825</v>
      </c>
      <c r="F33" s="168">
        <v>1859</v>
      </c>
      <c r="G33" s="872">
        <f>F33/E33*100</f>
        <v>101.86301369863014</v>
      </c>
      <c r="H33" s="305">
        <v>16</v>
      </c>
    </row>
    <row r="34" spans="1:8" ht="12.75">
      <c r="A34" s="860"/>
      <c r="B34" s="168"/>
      <c r="C34" s="168"/>
      <c r="D34" s="168"/>
      <c r="E34" s="748"/>
      <c r="F34" s="748"/>
      <c r="G34" s="872"/>
      <c r="H34" s="305"/>
    </row>
    <row r="35" spans="1:8" ht="12.75">
      <c r="A35" s="860" t="s">
        <v>1158</v>
      </c>
      <c r="B35" s="168" t="s">
        <v>1134</v>
      </c>
      <c r="C35" s="168" t="s">
        <v>1144</v>
      </c>
      <c r="D35" s="168" t="s">
        <v>466</v>
      </c>
      <c r="E35" s="748">
        <v>0</v>
      </c>
      <c r="F35" s="748">
        <v>1</v>
      </c>
      <c r="G35" s="872">
        <v>0</v>
      </c>
      <c r="H35" s="305">
        <v>17</v>
      </c>
    </row>
    <row r="36" spans="1:8" ht="13.5" thickBot="1">
      <c r="A36" s="860"/>
      <c r="B36" s="168"/>
      <c r="C36" s="168"/>
      <c r="D36" s="168"/>
      <c r="E36" s="748"/>
      <c r="F36" s="748"/>
      <c r="G36" s="872"/>
      <c r="H36" s="305"/>
    </row>
    <row r="37" spans="1:8" ht="13.5" thickBot="1">
      <c r="A37" s="1742" t="s">
        <v>406</v>
      </c>
      <c r="B37" s="1743"/>
      <c r="C37" s="1743"/>
      <c r="D37" s="1743"/>
      <c r="E37" s="1743"/>
      <c r="F37" s="1743"/>
      <c r="G37" s="1744"/>
      <c r="H37" s="871"/>
    </row>
    <row r="38" spans="1:8" ht="12.75">
      <c r="A38" s="1739" t="s">
        <v>1157</v>
      </c>
      <c r="B38" s="1735" t="s">
        <v>1156</v>
      </c>
      <c r="C38" s="1736"/>
      <c r="D38" s="1736"/>
      <c r="E38" s="1736"/>
      <c r="F38" s="1736"/>
      <c r="G38" s="1736"/>
      <c r="H38" s="1750"/>
    </row>
    <row r="39" spans="1:8" ht="13.5" thickBot="1">
      <c r="A39" s="1740"/>
      <c r="B39" s="1737" t="s">
        <v>1155</v>
      </c>
      <c r="C39" s="1738"/>
      <c r="D39" s="1738"/>
      <c r="E39" s="1738"/>
      <c r="F39" s="1738"/>
      <c r="G39" s="1738"/>
      <c r="H39" s="1751"/>
    </row>
    <row r="40" spans="1:8" ht="13.5" thickBot="1">
      <c r="A40" s="1741"/>
      <c r="B40" s="870" t="s">
        <v>1154</v>
      </c>
      <c r="C40" s="869" t="s">
        <v>1153</v>
      </c>
      <c r="D40" s="869" t="s">
        <v>1152</v>
      </c>
      <c r="E40" s="868">
        <v>39813</v>
      </c>
      <c r="F40" s="868">
        <v>40178</v>
      </c>
      <c r="G40" s="867" t="s">
        <v>21</v>
      </c>
      <c r="H40" s="1752"/>
    </row>
    <row r="41" spans="1:8" ht="12.75">
      <c r="A41" s="866" t="s">
        <v>1151</v>
      </c>
      <c r="B41" s="865" t="s">
        <v>1137</v>
      </c>
      <c r="C41" s="865"/>
      <c r="D41" s="865"/>
      <c r="E41" s="865"/>
      <c r="F41" s="865"/>
      <c r="G41" s="864"/>
      <c r="H41" s="305"/>
    </row>
    <row r="42" spans="1:8" ht="12.75">
      <c r="A42" s="860"/>
      <c r="B42" s="168" t="s">
        <v>1134</v>
      </c>
      <c r="C42" s="168" t="s">
        <v>1150</v>
      </c>
      <c r="D42" s="168" t="s">
        <v>466</v>
      </c>
      <c r="E42" s="168">
        <v>41</v>
      </c>
      <c r="F42" s="168">
        <v>41</v>
      </c>
      <c r="G42" s="861">
        <f>F42/E42*100</f>
        <v>100</v>
      </c>
      <c r="H42" s="305">
        <v>18</v>
      </c>
    </row>
    <row r="43" spans="1:8" ht="12.75">
      <c r="A43" s="860"/>
      <c r="B43" s="168"/>
      <c r="C43" s="168"/>
      <c r="D43" s="168"/>
      <c r="E43" s="168"/>
      <c r="F43" s="168"/>
      <c r="G43" s="861"/>
      <c r="H43" s="305"/>
    </row>
    <row r="44" spans="1:8" ht="12.75">
      <c r="A44" s="860" t="s">
        <v>1149</v>
      </c>
      <c r="B44" s="168" t="s">
        <v>1137</v>
      </c>
      <c r="C44" s="168"/>
      <c r="D44" s="168"/>
      <c r="E44" s="168"/>
      <c r="F44" s="168"/>
      <c r="G44" s="861"/>
      <c r="H44" s="305"/>
    </row>
    <row r="45" spans="1:8" ht="12.75">
      <c r="A45" s="860"/>
      <c r="B45" s="168" t="s">
        <v>1134</v>
      </c>
      <c r="C45" s="168" t="s">
        <v>1148</v>
      </c>
      <c r="D45" s="168" t="s">
        <v>1147</v>
      </c>
      <c r="E45" s="168">
        <v>435</v>
      </c>
      <c r="F45" s="168">
        <v>435</v>
      </c>
      <c r="G45" s="861">
        <f>F45/E45*100</f>
        <v>100</v>
      </c>
      <c r="H45" s="305">
        <v>19</v>
      </c>
    </row>
    <row r="46" spans="1:8" ht="12.75">
      <c r="A46" s="860"/>
      <c r="B46" s="168"/>
      <c r="C46" s="168"/>
      <c r="D46" s="168"/>
      <c r="E46" s="168"/>
      <c r="F46" s="168"/>
      <c r="G46" s="861"/>
      <c r="H46" s="305"/>
    </row>
    <row r="47" spans="1:8" ht="12.75">
      <c r="A47" s="860" t="s">
        <v>1146</v>
      </c>
      <c r="B47" s="168" t="s">
        <v>1137</v>
      </c>
      <c r="C47" s="168"/>
      <c r="D47" s="168"/>
      <c r="E47" s="168"/>
      <c r="F47" s="168"/>
      <c r="G47" s="861"/>
      <c r="H47" s="305"/>
    </row>
    <row r="48" spans="1:8" ht="12.75">
      <c r="A48" s="860"/>
      <c r="B48" s="168" t="s">
        <v>1134</v>
      </c>
      <c r="C48" s="168" t="s">
        <v>1144</v>
      </c>
      <c r="D48" s="168" t="s">
        <v>466</v>
      </c>
      <c r="E48" s="168">
        <v>108</v>
      </c>
      <c r="F48" s="168">
        <v>147</v>
      </c>
      <c r="G48" s="861">
        <f>F48/E48*100</f>
        <v>136.11111111111111</v>
      </c>
      <c r="H48" s="305">
        <v>20</v>
      </c>
    </row>
    <row r="49" spans="1:8" ht="12.75">
      <c r="A49" s="860"/>
      <c r="B49" s="168"/>
      <c r="C49" s="168"/>
      <c r="D49" s="168"/>
      <c r="E49" s="168"/>
      <c r="F49" s="168"/>
      <c r="G49" s="861"/>
      <c r="H49" s="305"/>
    </row>
    <row r="50" spans="1:8" ht="12.75">
      <c r="A50" s="860" t="s">
        <v>1145</v>
      </c>
      <c r="B50" s="168" t="s">
        <v>1137</v>
      </c>
      <c r="C50" s="168"/>
      <c r="D50" s="168"/>
      <c r="E50" s="168"/>
      <c r="F50" s="168"/>
      <c r="G50" s="861"/>
      <c r="H50" s="305"/>
    </row>
    <row r="51" spans="1:8" ht="12.75">
      <c r="A51" s="860"/>
      <c r="B51" s="168" t="s">
        <v>1134</v>
      </c>
      <c r="C51" s="168" t="s">
        <v>1144</v>
      </c>
      <c r="D51" s="168" t="s">
        <v>466</v>
      </c>
      <c r="E51" s="168">
        <v>8</v>
      </c>
      <c r="F51" s="168">
        <v>13</v>
      </c>
      <c r="G51" s="861">
        <f>F51/E51*100</f>
        <v>162.5</v>
      </c>
      <c r="H51" s="305">
        <v>21</v>
      </c>
    </row>
    <row r="52" spans="1:8" ht="12.75">
      <c r="A52" s="860"/>
      <c r="B52" s="168"/>
      <c r="C52" s="168"/>
      <c r="D52" s="168"/>
      <c r="E52" s="168"/>
      <c r="F52" s="168"/>
      <c r="G52" s="861"/>
      <c r="H52" s="305"/>
    </row>
    <row r="53" spans="1:8" ht="12.75">
      <c r="A53" s="860" t="s">
        <v>1143</v>
      </c>
      <c r="B53" s="168" t="s">
        <v>1134</v>
      </c>
      <c r="C53" s="168" t="s">
        <v>1141</v>
      </c>
      <c r="D53" s="168" t="s">
        <v>466</v>
      </c>
      <c r="E53" s="168">
        <v>0</v>
      </c>
      <c r="F53" s="168">
        <v>124</v>
      </c>
      <c r="G53" s="861">
        <v>0</v>
      </c>
      <c r="H53" s="305">
        <v>22</v>
      </c>
    </row>
    <row r="54" spans="1:8" ht="12.75">
      <c r="A54" s="860"/>
      <c r="B54" s="168"/>
      <c r="C54" s="168"/>
      <c r="D54" s="168"/>
      <c r="E54" s="168"/>
      <c r="F54" s="168"/>
      <c r="G54" s="861"/>
      <c r="H54" s="305"/>
    </row>
    <row r="55" spans="1:8" ht="12.75">
      <c r="A55" s="860"/>
      <c r="B55" s="168"/>
      <c r="C55" s="168"/>
      <c r="D55" s="168"/>
      <c r="E55" s="168"/>
      <c r="F55" s="168"/>
      <c r="G55" s="861"/>
      <c r="H55" s="305"/>
    </row>
    <row r="56" spans="1:8" ht="12.75">
      <c r="A56" s="860" t="s">
        <v>1142</v>
      </c>
      <c r="B56" s="168" t="s">
        <v>1137</v>
      </c>
      <c r="C56" s="168"/>
      <c r="D56" s="168"/>
      <c r="E56" s="168"/>
      <c r="F56" s="168"/>
      <c r="G56" s="861"/>
      <c r="H56" s="305"/>
    </row>
    <row r="57" spans="1:8" ht="12.75">
      <c r="A57" s="860"/>
      <c r="B57" s="168" t="s">
        <v>1134</v>
      </c>
      <c r="C57" s="168" t="s">
        <v>1141</v>
      </c>
      <c r="D57" s="168" t="s">
        <v>466</v>
      </c>
      <c r="E57" s="168">
        <v>275</v>
      </c>
      <c r="F57" s="168">
        <v>142</v>
      </c>
      <c r="G57" s="861">
        <f>F57/E57*100</f>
        <v>51.63636363636363</v>
      </c>
      <c r="H57" s="305">
        <v>23</v>
      </c>
    </row>
    <row r="58" spans="1:8" ht="12.75">
      <c r="A58" s="863"/>
      <c r="B58" s="748"/>
      <c r="C58" s="748"/>
      <c r="D58" s="748"/>
      <c r="E58" s="748"/>
      <c r="F58" s="748"/>
      <c r="G58" s="862"/>
      <c r="H58" s="305"/>
    </row>
    <row r="59" spans="1:8" ht="12.75">
      <c r="A59" s="860" t="s">
        <v>1140</v>
      </c>
      <c r="B59" s="168" t="s">
        <v>1137</v>
      </c>
      <c r="C59" s="168" t="s">
        <v>1139</v>
      </c>
      <c r="D59" s="168" t="s">
        <v>1135</v>
      </c>
      <c r="E59" s="168">
        <v>1</v>
      </c>
      <c r="F59" s="168">
        <v>1</v>
      </c>
      <c r="G59" s="861">
        <f>F59/E59*100</f>
        <v>100</v>
      </c>
      <c r="H59" s="305">
        <v>24</v>
      </c>
    </row>
    <row r="60" spans="1:8" ht="12.75">
      <c r="A60" s="860"/>
      <c r="B60" s="168"/>
      <c r="C60" s="168"/>
      <c r="D60" s="168"/>
      <c r="E60" s="168"/>
      <c r="F60" s="168"/>
      <c r="G60" s="861"/>
      <c r="H60" s="305"/>
    </row>
    <row r="61" spans="1:8" ht="12.75">
      <c r="A61" s="860" t="s">
        <v>1138</v>
      </c>
      <c r="B61" s="168" t="s">
        <v>1137</v>
      </c>
      <c r="C61" s="168" t="s">
        <v>1136</v>
      </c>
      <c r="D61" s="168" t="s">
        <v>1135</v>
      </c>
      <c r="E61" s="168">
        <v>1</v>
      </c>
      <c r="F61" s="168">
        <v>1</v>
      </c>
      <c r="G61" s="861">
        <f>F61/E61*100</f>
        <v>100</v>
      </c>
      <c r="H61" s="305">
        <v>25</v>
      </c>
    </row>
    <row r="62" spans="1:8" ht="12.75">
      <c r="A62" s="860"/>
      <c r="B62" s="168" t="s">
        <v>1134</v>
      </c>
      <c r="C62" s="168" t="s">
        <v>1133</v>
      </c>
      <c r="D62" s="168" t="s">
        <v>1132</v>
      </c>
      <c r="E62" s="168">
        <v>11497</v>
      </c>
      <c r="F62" s="168">
        <v>10992</v>
      </c>
      <c r="G62" s="861">
        <f>F62/E62*100</f>
        <v>95.60754979559886</v>
      </c>
      <c r="H62" s="305">
        <v>26</v>
      </c>
    </row>
    <row r="63" spans="1:8" ht="12.75">
      <c r="A63" s="860"/>
      <c r="B63" s="168"/>
      <c r="C63" s="168"/>
      <c r="D63" s="168"/>
      <c r="E63" s="168"/>
      <c r="F63" s="168"/>
      <c r="G63" s="859"/>
      <c r="H63" s="305"/>
    </row>
    <row r="64" spans="1:8" ht="13.5" thickBot="1">
      <c r="A64" s="858"/>
      <c r="B64" s="857"/>
      <c r="C64" s="857"/>
      <c r="D64" s="857"/>
      <c r="E64" s="857"/>
      <c r="F64" s="857"/>
      <c r="G64" s="856"/>
      <c r="H64" s="305"/>
    </row>
    <row r="71" spans="1:7" ht="12.75">
      <c r="A71" s="562"/>
      <c r="B71" s="562"/>
      <c r="C71" s="562"/>
      <c r="D71" s="562"/>
      <c r="E71" s="562"/>
      <c r="F71" s="562"/>
      <c r="G71" s="562"/>
    </row>
    <row r="72" spans="1:7" ht="12.75">
      <c r="A72" s="562"/>
      <c r="B72" s="562"/>
      <c r="C72" s="562"/>
      <c r="D72" s="562"/>
      <c r="E72" s="562"/>
      <c r="F72" s="562"/>
      <c r="G72" s="562"/>
    </row>
  </sheetData>
  <sheetProtection/>
  <mergeCells count="12">
    <mergeCell ref="B8:G8"/>
    <mergeCell ref="B9:G9"/>
    <mergeCell ref="B38:G38"/>
    <mergeCell ref="B39:G39"/>
    <mergeCell ref="A38:A40"/>
    <mergeCell ref="A37:G37"/>
    <mergeCell ref="A2:IV2"/>
    <mergeCell ref="A3:IV3"/>
    <mergeCell ref="A4:IV4"/>
    <mergeCell ref="A8:A10"/>
    <mergeCell ref="H7:H10"/>
    <mergeCell ref="H38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150" zoomScaleNormal="150" zoomScalePageLayoutView="0" workbookViewId="0" topLeftCell="A34">
      <selection activeCell="F55" sqref="F55"/>
    </sheetView>
  </sheetViews>
  <sheetFormatPr defaultColWidth="9.140625" defaultRowHeight="12.75"/>
  <cols>
    <col min="1" max="2" width="3.28125" style="0" customWidth="1"/>
    <col min="5" max="5" width="21.421875" style="0" customWidth="1"/>
    <col min="6" max="6" width="13.140625" style="0" customWidth="1"/>
    <col min="7" max="8" width="10.7109375" style="0" customWidth="1"/>
    <col min="9" max="9" width="10.140625" style="0" customWidth="1"/>
    <col min="10" max="10" width="0.13671875" style="0" customWidth="1"/>
  </cols>
  <sheetData>
    <row r="1" spans="6:10" ht="14.25" customHeight="1">
      <c r="F1" s="1096"/>
      <c r="G1" s="1096"/>
      <c r="H1" s="1096"/>
      <c r="I1" s="1096"/>
      <c r="J1" s="1096"/>
    </row>
    <row r="2" spans="2:10" ht="12.75" customHeight="1">
      <c r="B2" s="1097" t="s">
        <v>265</v>
      </c>
      <c r="C2" s="1097"/>
      <c r="D2" s="1097"/>
      <c r="E2" s="1097"/>
      <c r="F2" s="1097"/>
      <c r="G2" s="1097"/>
      <c r="H2" s="1097"/>
      <c r="I2" s="1097"/>
      <c r="J2" s="1097"/>
    </row>
    <row r="3" spans="2:10" ht="43.5" customHeight="1">
      <c r="B3" s="1189" t="s">
        <v>264</v>
      </c>
      <c r="C3" s="1189"/>
      <c r="D3" s="1189"/>
      <c r="E3" s="1189"/>
      <c r="F3" s="1189"/>
      <c r="G3" s="1189"/>
      <c r="H3" s="1189"/>
      <c r="I3" s="1189"/>
      <c r="J3" s="1189"/>
    </row>
    <row r="4" spans="9:10" ht="15.75" customHeight="1">
      <c r="I4" s="211" t="s">
        <v>4</v>
      </c>
      <c r="J4" s="211"/>
    </row>
    <row r="5" ht="13.5" customHeight="1" hidden="1"/>
    <row r="6" spans="1:9" ht="12.75">
      <c r="A6" s="1174"/>
      <c r="B6" s="1194" t="s">
        <v>41</v>
      </c>
      <c r="C6" s="1195"/>
      <c r="D6" s="1195"/>
      <c r="E6" s="1196"/>
      <c r="F6" s="208" t="s">
        <v>27</v>
      </c>
      <c r="G6" s="208" t="s">
        <v>28</v>
      </c>
      <c r="H6" s="208" t="s">
        <v>29</v>
      </c>
      <c r="I6" s="208" t="s">
        <v>30</v>
      </c>
    </row>
    <row r="7" spans="1:9" ht="12.75" customHeight="1">
      <c r="A7" s="1175"/>
      <c r="B7" s="1181" t="s">
        <v>7</v>
      </c>
      <c r="C7" s="1181"/>
      <c r="D7" s="1181"/>
      <c r="E7" s="1181"/>
      <c r="F7" s="207" t="s">
        <v>263</v>
      </c>
      <c r="G7" s="207" t="s">
        <v>1</v>
      </c>
      <c r="H7" s="1183" t="s">
        <v>2</v>
      </c>
      <c r="I7" s="1184"/>
    </row>
    <row r="8" spans="1:9" ht="22.5" customHeight="1">
      <c r="A8" s="1176"/>
      <c r="B8" s="1182"/>
      <c r="C8" s="1182"/>
      <c r="D8" s="1182"/>
      <c r="E8" s="1182"/>
      <c r="F8" s="1179" t="s">
        <v>3</v>
      </c>
      <c r="G8" s="1179"/>
      <c r="H8" s="206" t="s">
        <v>5</v>
      </c>
      <c r="I8" s="205" t="s">
        <v>21</v>
      </c>
    </row>
    <row r="9" spans="1:9" s="188" customFormat="1" ht="15">
      <c r="A9" s="110">
        <v>1</v>
      </c>
      <c r="B9" s="1190" t="s">
        <v>262</v>
      </c>
      <c r="C9" s="1190"/>
      <c r="D9" s="1190"/>
      <c r="E9" s="1190"/>
      <c r="F9" s="204">
        <f>F14+F11+F19+F20+F21+F22+F23+F25+F28+F29+F30+F31+F32+F33</f>
        <v>417717</v>
      </c>
      <c r="G9" s="204">
        <f>G14+G11+G19+G20+G21+G22+G23+G25+G28+G29+G30+G31+G32+G33</f>
        <v>431104</v>
      </c>
      <c r="H9" s="204">
        <f>H14+H11+H19+H20+H21+H22+H23+H25+H28+H29+H30+H31+H32+H33</f>
        <v>18664</v>
      </c>
      <c r="I9" s="203">
        <f>(H9/G9)*100</f>
        <v>4.329349762470309</v>
      </c>
    </row>
    <row r="10" spans="1:9" ht="15.75" customHeight="1">
      <c r="A10" s="110">
        <v>2</v>
      </c>
      <c r="B10" s="1191" t="s">
        <v>261</v>
      </c>
      <c r="C10" s="1192"/>
      <c r="D10" s="1192"/>
      <c r="E10" s="1193"/>
      <c r="F10" s="202"/>
      <c r="G10" s="201"/>
      <c r="H10" s="201"/>
      <c r="I10" s="200"/>
    </row>
    <row r="11" spans="1:9" ht="12.75" customHeight="1">
      <c r="A11" s="110">
        <v>3</v>
      </c>
      <c r="B11" s="1180" t="s">
        <v>260</v>
      </c>
      <c r="C11" s="1045"/>
      <c r="D11" s="1045"/>
      <c r="E11" s="1046"/>
      <c r="F11" s="33">
        <v>0</v>
      </c>
      <c r="G11" s="33">
        <v>0</v>
      </c>
      <c r="H11" s="33">
        <v>0</v>
      </c>
      <c r="I11" s="191">
        <v>0</v>
      </c>
    </row>
    <row r="12" spans="1:9" ht="12.75" hidden="1">
      <c r="A12" s="110"/>
      <c r="B12" s="1155"/>
      <c r="C12" s="1042"/>
      <c r="D12" s="1042"/>
      <c r="E12" s="1043"/>
      <c r="F12" s="30"/>
      <c r="G12" s="46"/>
      <c r="H12" s="46"/>
      <c r="I12" s="199" t="e">
        <f aca="true" t="shared" si="0" ref="I12:I19">(H12/G12)*100</f>
        <v>#DIV/0!</v>
      </c>
    </row>
    <row r="13" spans="1:9" ht="12.75" hidden="1">
      <c r="A13" s="110"/>
      <c r="B13" s="1155"/>
      <c r="C13" s="1042"/>
      <c r="D13" s="1042"/>
      <c r="E13" s="1043"/>
      <c r="F13" s="30"/>
      <c r="G13" s="46"/>
      <c r="H13" s="46"/>
      <c r="I13" s="199" t="e">
        <f t="shared" si="0"/>
        <v>#DIV/0!</v>
      </c>
    </row>
    <row r="14" spans="1:9" s="197" customFormat="1" ht="23.25" customHeight="1">
      <c r="A14" s="198">
        <v>4</v>
      </c>
      <c r="B14" s="1180" t="s">
        <v>259</v>
      </c>
      <c r="C14" s="1045"/>
      <c r="D14" s="1045"/>
      <c r="E14" s="1046"/>
      <c r="F14" s="30">
        <v>13117</v>
      </c>
      <c r="G14" s="30">
        <v>13117</v>
      </c>
      <c r="H14" s="30">
        <v>20</v>
      </c>
      <c r="I14" s="191">
        <f t="shared" si="0"/>
        <v>0.152473888846535</v>
      </c>
    </row>
    <row r="15" spans="1:9" ht="12.75" hidden="1">
      <c r="A15" s="110"/>
      <c r="B15" s="1155" t="s">
        <v>258</v>
      </c>
      <c r="C15" s="1042"/>
      <c r="D15" s="1042"/>
      <c r="E15" s="1043"/>
      <c r="F15" s="30"/>
      <c r="G15" s="46"/>
      <c r="H15" s="46"/>
      <c r="I15" s="196" t="e">
        <f t="shared" si="0"/>
        <v>#DIV/0!</v>
      </c>
    </row>
    <row r="16" spans="1:9" ht="12.75" hidden="1">
      <c r="A16" s="110"/>
      <c r="B16" s="1155" t="s">
        <v>257</v>
      </c>
      <c r="C16" s="1042"/>
      <c r="D16" s="1042"/>
      <c r="E16" s="1043"/>
      <c r="F16" s="30"/>
      <c r="G16" s="46"/>
      <c r="H16" s="46"/>
      <c r="I16" s="196" t="e">
        <f t="shared" si="0"/>
        <v>#DIV/0!</v>
      </c>
    </row>
    <row r="17" spans="1:9" s="197" customFormat="1" ht="12.75" hidden="1">
      <c r="A17" s="198"/>
      <c r="B17" s="1155" t="s">
        <v>256</v>
      </c>
      <c r="C17" s="1042"/>
      <c r="D17" s="1042"/>
      <c r="E17" s="1043"/>
      <c r="F17" s="30"/>
      <c r="G17" s="46"/>
      <c r="H17" s="46"/>
      <c r="I17" s="196" t="e">
        <f t="shared" si="0"/>
        <v>#DIV/0!</v>
      </c>
    </row>
    <row r="18" spans="1:9" ht="12.75" hidden="1">
      <c r="A18" s="110"/>
      <c r="B18" s="1155" t="s">
        <v>255</v>
      </c>
      <c r="C18" s="1042"/>
      <c r="D18" s="1042"/>
      <c r="E18" s="1043"/>
      <c r="F18" s="30"/>
      <c r="G18" s="46"/>
      <c r="H18" s="46"/>
      <c r="I18" s="196" t="e">
        <f t="shared" si="0"/>
        <v>#DIV/0!</v>
      </c>
    </row>
    <row r="19" spans="1:9" ht="12.75">
      <c r="A19" s="110">
        <v>5</v>
      </c>
      <c r="B19" s="1051" t="s">
        <v>254</v>
      </c>
      <c r="C19" s="1051"/>
      <c r="D19" s="1051"/>
      <c r="E19" s="1051"/>
      <c r="F19" s="30">
        <v>4000</v>
      </c>
      <c r="G19" s="30">
        <v>4000</v>
      </c>
      <c r="H19" s="30">
        <v>4540</v>
      </c>
      <c r="I19" s="191">
        <f t="shared" si="0"/>
        <v>113.5</v>
      </c>
    </row>
    <row r="20" spans="1:9" ht="12.75">
      <c r="A20" s="110">
        <v>6</v>
      </c>
      <c r="B20" s="1180" t="s">
        <v>253</v>
      </c>
      <c r="C20" s="1045"/>
      <c r="D20" s="1045"/>
      <c r="E20" s="1046"/>
      <c r="F20" s="30">
        <v>0</v>
      </c>
      <c r="G20" s="30">
        <v>0</v>
      </c>
      <c r="H20" s="30">
        <v>0</v>
      </c>
      <c r="I20" s="191">
        <v>0</v>
      </c>
    </row>
    <row r="21" spans="1:9" ht="12.75">
      <c r="A21" s="110">
        <v>7</v>
      </c>
      <c r="B21" s="1051" t="s">
        <v>252</v>
      </c>
      <c r="C21" s="1051"/>
      <c r="D21" s="1051"/>
      <c r="E21" s="1051"/>
      <c r="F21" s="30">
        <v>0</v>
      </c>
      <c r="G21" s="30">
        <v>0</v>
      </c>
      <c r="H21" s="30">
        <v>0</v>
      </c>
      <c r="I21" s="191">
        <v>0</v>
      </c>
    </row>
    <row r="22" spans="1:9" ht="12.75">
      <c r="A22" s="110">
        <v>8</v>
      </c>
      <c r="B22" s="1051" t="s">
        <v>251</v>
      </c>
      <c r="C22" s="1051"/>
      <c r="D22" s="1051"/>
      <c r="E22" s="1051"/>
      <c r="F22" s="30">
        <v>0</v>
      </c>
      <c r="G22" s="30">
        <v>0</v>
      </c>
      <c r="H22" s="30">
        <v>0</v>
      </c>
      <c r="I22" s="191">
        <v>0</v>
      </c>
    </row>
    <row r="23" spans="1:9" ht="12.75" customHeight="1">
      <c r="A23" s="110">
        <v>9</v>
      </c>
      <c r="B23" s="1180" t="s">
        <v>250</v>
      </c>
      <c r="C23" s="1045"/>
      <c r="D23" s="1045"/>
      <c r="E23" s="1046"/>
      <c r="F23" s="30">
        <v>0</v>
      </c>
      <c r="G23" s="30">
        <v>0</v>
      </c>
      <c r="H23" s="30">
        <v>0</v>
      </c>
      <c r="I23" s="191">
        <v>0</v>
      </c>
    </row>
    <row r="24" spans="1:9" ht="12.75">
      <c r="A24" s="110">
        <v>10</v>
      </c>
      <c r="B24" s="1051" t="s">
        <v>249</v>
      </c>
      <c r="C24" s="1051"/>
      <c r="D24" s="1051"/>
      <c r="E24" s="1051"/>
      <c r="F24" s="30">
        <v>0</v>
      </c>
      <c r="G24" s="30">
        <v>0</v>
      </c>
      <c r="H24" s="30">
        <v>0</v>
      </c>
      <c r="I24" s="191">
        <v>0</v>
      </c>
    </row>
    <row r="25" spans="1:9" ht="13.5" customHeight="1">
      <c r="A25" s="110">
        <v>11</v>
      </c>
      <c r="B25" s="1207" t="s">
        <v>248</v>
      </c>
      <c r="C25" s="1207"/>
      <c r="D25" s="1207"/>
      <c r="E25" s="1207"/>
      <c r="F25" s="195">
        <f>F26+F27</f>
        <v>0</v>
      </c>
      <c r="G25" s="195">
        <f>G26+G27</f>
        <v>13387</v>
      </c>
      <c r="H25" s="195">
        <f>H26+H27</f>
        <v>13387</v>
      </c>
      <c r="I25" s="194">
        <f>(H25/G25)*100</f>
        <v>100</v>
      </c>
    </row>
    <row r="26" spans="1:9" ht="21.75" customHeight="1">
      <c r="A26" s="110">
        <v>12</v>
      </c>
      <c r="B26" s="1186" t="s">
        <v>247</v>
      </c>
      <c r="C26" s="1187"/>
      <c r="D26" s="1187"/>
      <c r="E26" s="1188"/>
      <c r="F26" s="35">
        <v>0</v>
      </c>
      <c r="G26" s="35">
        <v>9729</v>
      </c>
      <c r="H26" s="35">
        <v>9729</v>
      </c>
      <c r="I26" s="193">
        <f>(H26/G26)*100</f>
        <v>100</v>
      </c>
    </row>
    <row r="27" spans="1:9" ht="21.75" customHeight="1">
      <c r="A27" s="110">
        <v>13</v>
      </c>
      <c r="B27" s="1186" t="s">
        <v>246</v>
      </c>
      <c r="C27" s="1187"/>
      <c r="D27" s="1187"/>
      <c r="E27" s="1188"/>
      <c r="F27" s="35">
        <v>0</v>
      </c>
      <c r="G27" s="35">
        <v>3658</v>
      </c>
      <c r="H27" s="35">
        <v>3658</v>
      </c>
      <c r="I27" s="193">
        <f>(H27/G27)*100</f>
        <v>100</v>
      </c>
    </row>
    <row r="28" spans="1:9" s="192" customFormat="1" ht="21.75" customHeight="1">
      <c r="A28" s="110">
        <v>14</v>
      </c>
      <c r="B28" s="1180" t="s">
        <v>245</v>
      </c>
      <c r="C28" s="1045"/>
      <c r="D28" s="1045"/>
      <c r="E28" s="1046"/>
      <c r="F28" s="30">
        <v>600</v>
      </c>
      <c r="G28" s="30">
        <v>600</v>
      </c>
      <c r="H28" s="30">
        <v>717</v>
      </c>
      <c r="I28" s="191">
        <f>(H28/G28)*100</f>
        <v>119.5</v>
      </c>
    </row>
    <row r="29" spans="1:9" ht="12.75" customHeight="1">
      <c r="A29" s="110">
        <v>15</v>
      </c>
      <c r="B29" s="1180" t="s">
        <v>244</v>
      </c>
      <c r="C29" s="1045"/>
      <c r="D29" s="1045"/>
      <c r="E29" s="1046"/>
      <c r="F29" s="30">
        <v>0</v>
      </c>
      <c r="G29" s="30">
        <v>0</v>
      </c>
      <c r="H29" s="30">
        <v>0</v>
      </c>
      <c r="I29" s="191">
        <v>0</v>
      </c>
    </row>
    <row r="30" spans="1:9" ht="12.75" customHeight="1">
      <c r="A30" s="110">
        <v>16</v>
      </c>
      <c r="B30" s="1180" t="s">
        <v>243</v>
      </c>
      <c r="C30" s="1045"/>
      <c r="D30" s="1045"/>
      <c r="E30" s="1046"/>
      <c r="F30" s="30">
        <v>0</v>
      </c>
      <c r="G30" s="30">
        <v>0</v>
      </c>
      <c r="H30" s="30">
        <v>0</v>
      </c>
      <c r="I30" s="191">
        <v>0</v>
      </c>
    </row>
    <row r="31" spans="1:9" ht="12.75">
      <c r="A31" s="110">
        <v>17</v>
      </c>
      <c r="B31" s="1051" t="s">
        <v>242</v>
      </c>
      <c r="C31" s="1051"/>
      <c r="D31" s="1051"/>
      <c r="E31" s="1051"/>
      <c r="F31" s="30">
        <v>0</v>
      </c>
      <c r="G31" s="30">
        <v>0</v>
      </c>
      <c r="H31" s="30">
        <v>0</v>
      </c>
      <c r="I31" s="191">
        <v>0</v>
      </c>
    </row>
    <row r="32" spans="1:9" ht="12.75">
      <c r="A32" s="110">
        <v>18</v>
      </c>
      <c r="B32" s="1051" t="s">
        <v>241</v>
      </c>
      <c r="C32" s="1051"/>
      <c r="D32" s="1051"/>
      <c r="E32" s="1051"/>
      <c r="F32" s="30">
        <v>0</v>
      </c>
      <c r="G32" s="30">
        <v>0</v>
      </c>
      <c r="H32" s="30">
        <v>0</v>
      </c>
      <c r="I32" s="191">
        <v>0</v>
      </c>
    </row>
    <row r="33" spans="1:9" ht="12.75">
      <c r="A33" s="110">
        <v>19</v>
      </c>
      <c r="B33" s="1051" t="s">
        <v>240</v>
      </c>
      <c r="C33" s="1051"/>
      <c r="D33" s="1051"/>
      <c r="E33" s="1051"/>
      <c r="F33" s="30">
        <v>400000</v>
      </c>
      <c r="G33" s="30">
        <v>400000</v>
      </c>
      <c r="H33" s="30">
        <v>0</v>
      </c>
      <c r="I33" s="191">
        <v>0</v>
      </c>
    </row>
    <row r="34" spans="1:9" ht="15">
      <c r="A34" s="110">
        <v>20</v>
      </c>
      <c r="B34" s="1190" t="s">
        <v>239</v>
      </c>
      <c r="C34" s="1190"/>
      <c r="D34" s="1190"/>
      <c r="E34" s="1190"/>
      <c r="F34" s="190">
        <f>F35+F36+F45+F46</f>
        <v>470352</v>
      </c>
      <c r="G34" s="190">
        <f>G35+G36+G45+G46</f>
        <v>510461</v>
      </c>
      <c r="H34" s="190">
        <f>H35+H36+H45+H46</f>
        <v>58473</v>
      </c>
      <c r="I34" s="189">
        <f>(H34/G34)*100</f>
        <v>11.454939750539218</v>
      </c>
    </row>
    <row r="35" spans="1:11" ht="12.75">
      <c r="A35" s="110">
        <v>21</v>
      </c>
      <c r="B35" s="1197" t="s">
        <v>238</v>
      </c>
      <c r="C35" s="1204"/>
      <c r="D35" s="1204"/>
      <c r="E35" s="1205"/>
      <c r="F35" s="181">
        <v>13790</v>
      </c>
      <c r="G35" s="181">
        <v>36290</v>
      </c>
      <c r="H35" s="181">
        <v>17839</v>
      </c>
      <c r="I35" s="180">
        <f>(H35/G35)*100</f>
        <v>49.15679250482226</v>
      </c>
      <c r="K35" s="112"/>
    </row>
    <row r="36" spans="1:9" ht="12.75">
      <c r="A36" s="110">
        <v>22</v>
      </c>
      <c r="B36" s="1197" t="s">
        <v>237</v>
      </c>
      <c r="C36" s="1198"/>
      <c r="D36" s="1198"/>
      <c r="E36" s="1199"/>
      <c r="F36" s="181">
        <f>F37+F38</f>
        <v>453562</v>
      </c>
      <c r="G36" s="181">
        <f>G37+G38</f>
        <v>471171</v>
      </c>
      <c r="H36" s="181">
        <f>H37+H38</f>
        <v>37874</v>
      </c>
      <c r="I36" s="180">
        <f>(H36/G36)*100</f>
        <v>8.038270606637505</v>
      </c>
    </row>
    <row r="37" spans="1:9" s="188" customFormat="1" ht="15">
      <c r="A37" s="110">
        <v>23</v>
      </c>
      <c r="B37" s="1200" t="s">
        <v>236</v>
      </c>
      <c r="C37" s="1200"/>
      <c r="D37" s="1200"/>
      <c r="E37" s="1200"/>
      <c r="F37" s="187">
        <v>377966</v>
      </c>
      <c r="G37" s="187">
        <v>392052</v>
      </c>
      <c r="H37" s="187">
        <v>30633</v>
      </c>
      <c r="I37" s="186">
        <f>(H37/G37)*100</f>
        <v>7.813504331058124</v>
      </c>
    </row>
    <row r="38" spans="1:9" ht="12.75">
      <c r="A38" s="110">
        <v>24</v>
      </c>
      <c r="B38" s="1200" t="s">
        <v>235</v>
      </c>
      <c r="C38" s="1200"/>
      <c r="D38" s="1200"/>
      <c r="E38" s="1200"/>
      <c r="F38" s="187">
        <v>75596</v>
      </c>
      <c r="G38" s="187">
        <v>79119</v>
      </c>
      <c r="H38" s="187">
        <v>7241</v>
      </c>
      <c r="I38" s="186">
        <f>(H38/G38)*100</f>
        <v>9.152036805318572</v>
      </c>
    </row>
    <row r="39" spans="1:9" ht="12.75">
      <c r="A39" s="110">
        <v>25</v>
      </c>
      <c r="B39" s="1201" t="s">
        <v>234</v>
      </c>
      <c r="C39" s="1202"/>
      <c r="D39" s="1202"/>
      <c r="E39" s="1203"/>
      <c r="F39" s="181">
        <v>0</v>
      </c>
      <c r="G39" s="181">
        <v>0</v>
      </c>
      <c r="H39" s="181">
        <v>0</v>
      </c>
      <c r="I39" s="180">
        <v>0</v>
      </c>
    </row>
    <row r="40" spans="1:9" ht="12.75">
      <c r="A40" s="110">
        <v>26</v>
      </c>
      <c r="B40" s="1201" t="s">
        <v>233</v>
      </c>
      <c r="C40" s="1202"/>
      <c r="D40" s="1202"/>
      <c r="E40" s="1203"/>
      <c r="F40" s="181">
        <v>0</v>
      </c>
      <c r="G40" s="181">
        <v>0</v>
      </c>
      <c r="H40" s="181">
        <v>0</v>
      </c>
      <c r="I40" s="180">
        <v>0</v>
      </c>
    </row>
    <row r="41" spans="1:9" ht="12.75">
      <c r="A41" s="110">
        <v>27</v>
      </c>
      <c r="B41" s="1206" t="s">
        <v>232</v>
      </c>
      <c r="C41" s="1206"/>
      <c r="D41" s="1206"/>
      <c r="E41" s="1206"/>
      <c r="F41" s="181">
        <v>0</v>
      </c>
      <c r="G41" s="181">
        <v>0</v>
      </c>
      <c r="H41" s="181">
        <v>0</v>
      </c>
      <c r="I41" s="180">
        <v>0</v>
      </c>
    </row>
    <row r="42" spans="1:10" ht="12.75">
      <c r="A42" s="110">
        <v>28</v>
      </c>
      <c r="B42" s="1197" t="s">
        <v>230</v>
      </c>
      <c r="C42" s="1198"/>
      <c r="D42" s="1198"/>
      <c r="E42" s="1199"/>
      <c r="F42" s="181">
        <v>0</v>
      </c>
      <c r="G42" s="181">
        <v>0</v>
      </c>
      <c r="H42" s="181">
        <v>0</v>
      </c>
      <c r="I42" s="180">
        <v>0</v>
      </c>
      <c r="J42" s="169"/>
    </row>
    <row r="43" spans="1:10" ht="12.75">
      <c r="A43" s="110">
        <v>29</v>
      </c>
      <c r="B43" s="1197" t="s">
        <v>231</v>
      </c>
      <c r="C43" s="1198"/>
      <c r="D43" s="1198"/>
      <c r="E43" s="1199"/>
      <c r="F43" s="183">
        <v>1000</v>
      </c>
      <c r="G43" s="185">
        <v>1000</v>
      </c>
      <c r="H43" s="185">
        <v>1160</v>
      </c>
      <c r="I43" s="184">
        <f>H43/G43*100</f>
        <v>115.99999999999999</v>
      </c>
      <c r="J43" s="169"/>
    </row>
    <row r="44" spans="1:9" ht="12.75" hidden="1">
      <c r="A44" s="110">
        <v>30</v>
      </c>
      <c r="B44" s="1206" t="s">
        <v>230</v>
      </c>
      <c r="C44" s="1206"/>
      <c r="D44" s="1206"/>
      <c r="E44" s="1206"/>
      <c r="F44" s="181">
        <v>0</v>
      </c>
      <c r="G44" s="181">
        <v>0</v>
      </c>
      <c r="H44" s="181">
        <v>0</v>
      </c>
      <c r="I44" s="182">
        <v>0</v>
      </c>
    </row>
    <row r="45" spans="1:9" ht="12.75" hidden="1">
      <c r="A45" s="110">
        <v>31</v>
      </c>
      <c r="B45" s="1197" t="s">
        <v>229</v>
      </c>
      <c r="C45" s="1198"/>
      <c r="D45" s="1198"/>
      <c r="E45" s="1199"/>
      <c r="F45" s="181">
        <v>1000</v>
      </c>
      <c r="G45" s="181">
        <v>1000</v>
      </c>
      <c r="H45" s="181">
        <v>1160</v>
      </c>
      <c r="I45" s="180">
        <f>(H45/G45)*100</f>
        <v>115.99999999999999</v>
      </c>
    </row>
    <row r="46" spans="1:10" ht="13.5" thickBot="1">
      <c r="A46" s="38">
        <v>32</v>
      </c>
      <c r="B46" s="1185" t="s">
        <v>228</v>
      </c>
      <c r="C46" s="1185"/>
      <c r="D46" s="1185"/>
      <c r="E46" s="1185"/>
      <c r="F46" s="179">
        <v>2000</v>
      </c>
      <c r="G46" s="179">
        <v>2000</v>
      </c>
      <c r="H46" s="179">
        <v>1600</v>
      </c>
      <c r="I46" s="178">
        <f>(H46/G46)*100</f>
        <v>80</v>
      </c>
      <c r="J46" s="169"/>
    </row>
    <row r="49" ht="12.75">
      <c r="F49" s="6"/>
    </row>
    <row r="50" ht="12.75" hidden="1"/>
    <row r="51" ht="12.75">
      <c r="D51" s="6"/>
    </row>
    <row r="61" ht="12.75">
      <c r="J61" s="112"/>
    </row>
  </sheetData>
  <sheetProtection/>
  <mergeCells count="46">
    <mergeCell ref="B42:E42"/>
    <mergeCell ref="B43:E43"/>
    <mergeCell ref="A6:A8"/>
    <mergeCell ref="B36:E36"/>
    <mergeCell ref="B19:E19"/>
    <mergeCell ref="B21:E21"/>
    <mergeCell ref="B22:E22"/>
    <mergeCell ref="B25:E25"/>
    <mergeCell ref="B41:E41"/>
    <mergeCell ref="B34:E34"/>
    <mergeCell ref="B45:E45"/>
    <mergeCell ref="B32:E32"/>
    <mergeCell ref="B33:E33"/>
    <mergeCell ref="B28:E28"/>
    <mergeCell ref="B37:E37"/>
    <mergeCell ref="B38:E38"/>
    <mergeCell ref="B39:E39"/>
    <mergeCell ref="B40:E40"/>
    <mergeCell ref="B35:E35"/>
    <mergeCell ref="B44:E44"/>
    <mergeCell ref="F1:J1"/>
    <mergeCell ref="B2:J2"/>
    <mergeCell ref="B3:J3"/>
    <mergeCell ref="B9:E9"/>
    <mergeCell ref="B10:E10"/>
    <mergeCell ref="B6:E6"/>
    <mergeCell ref="B16:E16"/>
    <mergeCell ref="H7:I7"/>
    <mergeCell ref="B12:E12"/>
    <mergeCell ref="B18:E18"/>
    <mergeCell ref="B46:E46"/>
    <mergeCell ref="B31:E31"/>
    <mergeCell ref="B13:E13"/>
    <mergeCell ref="B26:E26"/>
    <mergeCell ref="B29:E29"/>
    <mergeCell ref="B27:E27"/>
    <mergeCell ref="B24:E24"/>
    <mergeCell ref="F8:G8"/>
    <mergeCell ref="B15:E15"/>
    <mergeCell ref="B30:E30"/>
    <mergeCell ref="B20:E20"/>
    <mergeCell ref="B7:E8"/>
    <mergeCell ref="B11:E11"/>
    <mergeCell ref="B14:E14"/>
    <mergeCell ref="B23:E23"/>
    <mergeCell ref="B17:E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6">
      <selection activeCell="D35" sqref="D35"/>
    </sheetView>
  </sheetViews>
  <sheetFormatPr defaultColWidth="9.140625" defaultRowHeight="12.75"/>
  <cols>
    <col min="2" max="2" width="41.28125" style="0" customWidth="1"/>
    <col min="4" max="4" width="25.00390625" style="0" customWidth="1"/>
    <col min="6" max="6" width="14.57421875" style="0" customWidth="1"/>
    <col min="7" max="7" width="13.57421875" style="0" customWidth="1"/>
  </cols>
  <sheetData>
    <row r="1" spans="7:8" ht="12.75">
      <c r="G1" s="1380" t="s">
        <v>227</v>
      </c>
      <c r="H1" s="1380"/>
    </row>
    <row r="2" spans="2:7" ht="12.75">
      <c r="B2" s="1097" t="s">
        <v>1188</v>
      </c>
      <c r="C2" s="1097"/>
      <c r="D2" s="1097"/>
      <c r="E2" s="1097"/>
      <c r="F2" s="1097"/>
      <c r="G2" s="1097"/>
    </row>
    <row r="3" spans="2:7" ht="12.75">
      <c r="B3" s="1097" t="s">
        <v>1130</v>
      </c>
      <c r="C3" s="1097"/>
      <c r="D3" s="1097"/>
      <c r="E3" s="1097"/>
      <c r="F3" s="1097"/>
      <c r="G3" s="1097"/>
    </row>
    <row r="4" spans="2:7" ht="12.75">
      <c r="B4" s="1097" t="s">
        <v>1185</v>
      </c>
      <c r="C4" s="1097"/>
      <c r="D4" s="1097"/>
      <c r="E4" s="1097"/>
      <c r="F4" s="1097"/>
      <c r="G4" s="1097"/>
    </row>
    <row r="5" spans="7:8" ht="12.75">
      <c r="G5" s="1377" t="s">
        <v>1001</v>
      </c>
      <c r="H5" s="1377"/>
    </row>
    <row r="6" spans="1:8" ht="12.75">
      <c r="A6" s="1757" t="s">
        <v>919</v>
      </c>
      <c r="B6" s="133" t="s">
        <v>41</v>
      </c>
      <c r="C6" s="110" t="s">
        <v>27</v>
      </c>
      <c r="D6" s="110" t="s">
        <v>28</v>
      </c>
      <c r="E6" s="110" t="s">
        <v>29</v>
      </c>
      <c r="F6" s="110" t="s">
        <v>30</v>
      </c>
      <c r="G6" s="110" t="s">
        <v>439</v>
      </c>
      <c r="H6" s="110" t="s">
        <v>438</v>
      </c>
    </row>
    <row r="7" spans="1:8" ht="12.75">
      <c r="A7" s="1758"/>
      <c r="B7" s="1759" t="s">
        <v>1157</v>
      </c>
      <c r="C7" s="1753" t="s">
        <v>1156</v>
      </c>
      <c r="D7" s="1754"/>
      <c r="E7" s="1754"/>
      <c r="F7" s="1754"/>
      <c r="G7" s="1754"/>
      <c r="H7" s="1761"/>
    </row>
    <row r="8" spans="1:8" ht="13.5" thickBot="1">
      <c r="A8" s="1758"/>
      <c r="B8" s="1759"/>
      <c r="C8" s="1755" t="s">
        <v>1187</v>
      </c>
      <c r="D8" s="1756"/>
      <c r="E8" s="1756"/>
      <c r="F8" s="1756"/>
      <c r="G8" s="1756"/>
      <c r="H8" s="1762"/>
    </row>
    <row r="9" spans="1:8" ht="13.5" thickBot="1">
      <c r="A9" s="1156"/>
      <c r="B9" s="1760"/>
      <c r="C9" s="644" t="s">
        <v>1154</v>
      </c>
      <c r="D9" s="643" t="s">
        <v>1153</v>
      </c>
      <c r="E9" s="891" t="s">
        <v>1152</v>
      </c>
      <c r="F9" s="875">
        <v>39813</v>
      </c>
      <c r="G9" s="874">
        <v>40178</v>
      </c>
      <c r="H9" s="891" t="s">
        <v>1180</v>
      </c>
    </row>
    <row r="10" spans="1:8" ht="12.75">
      <c r="A10" s="305">
        <v>1</v>
      </c>
      <c r="B10" s="866" t="s">
        <v>1179</v>
      </c>
      <c r="C10" s="865" t="s">
        <v>1137</v>
      </c>
      <c r="D10" s="865" t="s">
        <v>1177</v>
      </c>
      <c r="E10" s="880" t="s">
        <v>466</v>
      </c>
      <c r="F10" s="865">
        <v>71</v>
      </c>
      <c r="G10" s="865">
        <v>72</v>
      </c>
      <c r="H10" s="890">
        <f aca="true" t="shared" si="0" ref="H10:H25">G10/F10*100</f>
        <v>101.40845070422534</v>
      </c>
    </row>
    <row r="11" spans="1:8" ht="12.75">
      <c r="A11" s="305">
        <v>2</v>
      </c>
      <c r="B11" s="860"/>
      <c r="C11" s="168" t="s">
        <v>1134</v>
      </c>
      <c r="D11" s="168" t="s">
        <v>1176</v>
      </c>
      <c r="E11" s="878" t="s">
        <v>1175</v>
      </c>
      <c r="F11" s="168">
        <v>15573</v>
      </c>
      <c r="G11" s="168">
        <v>15931</v>
      </c>
      <c r="H11" s="889">
        <f t="shared" si="0"/>
        <v>102.29885057471265</v>
      </c>
    </row>
    <row r="12" spans="1:8" ht="12.75">
      <c r="A12" s="305">
        <v>3</v>
      </c>
      <c r="B12" s="860" t="s">
        <v>1178</v>
      </c>
      <c r="C12" s="168" t="s">
        <v>1137</v>
      </c>
      <c r="D12" s="168" t="s">
        <v>1177</v>
      </c>
      <c r="E12" s="878" t="s">
        <v>466</v>
      </c>
      <c r="F12" s="168">
        <v>95</v>
      </c>
      <c r="G12" s="168">
        <v>118</v>
      </c>
      <c r="H12" s="889">
        <f t="shared" si="0"/>
        <v>124.21052631578948</v>
      </c>
    </row>
    <row r="13" spans="1:8" ht="12.75">
      <c r="A13" s="305">
        <v>4</v>
      </c>
      <c r="B13" s="860"/>
      <c r="C13" s="168" t="s">
        <v>1134</v>
      </c>
      <c r="D13" s="168" t="s">
        <v>1176</v>
      </c>
      <c r="E13" s="878" t="s">
        <v>1175</v>
      </c>
      <c r="F13" s="168">
        <v>17606</v>
      </c>
      <c r="G13" s="168">
        <v>21829</v>
      </c>
      <c r="H13" s="889">
        <f t="shared" si="0"/>
        <v>123.98614108826536</v>
      </c>
    </row>
    <row r="14" spans="1:8" ht="12.75">
      <c r="A14" s="305">
        <v>5</v>
      </c>
      <c r="B14" s="860" t="s">
        <v>1174</v>
      </c>
      <c r="C14" s="168" t="s">
        <v>1137</v>
      </c>
      <c r="D14" s="168" t="s">
        <v>1173</v>
      </c>
      <c r="E14" s="878" t="s">
        <v>466</v>
      </c>
      <c r="F14" s="168">
        <v>142</v>
      </c>
      <c r="G14" s="168">
        <v>139</v>
      </c>
      <c r="H14" s="889">
        <f t="shared" si="0"/>
        <v>97.88732394366197</v>
      </c>
    </row>
    <row r="15" spans="1:8" ht="12.75">
      <c r="A15" s="305">
        <v>6</v>
      </c>
      <c r="B15" s="860"/>
      <c r="C15" s="168" t="s">
        <v>1134</v>
      </c>
      <c r="D15" s="168" t="s">
        <v>1172</v>
      </c>
      <c r="E15" s="878" t="s">
        <v>1135</v>
      </c>
      <c r="F15" s="168">
        <v>125</v>
      </c>
      <c r="G15" s="168">
        <v>125</v>
      </c>
      <c r="H15" s="889">
        <f t="shared" si="0"/>
        <v>100</v>
      </c>
    </row>
    <row r="16" spans="1:8" ht="12.75">
      <c r="A16" s="305">
        <v>7</v>
      </c>
      <c r="B16" s="860" t="s">
        <v>1171</v>
      </c>
      <c r="C16" s="168" t="s">
        <v>1137</v>
      </c>
      <c r="D16" s="168" t="s">
        <v>1166</v>
      </c>
      <c r="E16" s="878" t="s">
        <v>466</v>
      </c>
      <c r="F16" s="168">
        <v>302</v>
      </c>
      <c r="G16" s="168">
        <v>300</v>
      </c>
      <c r="H16" s="889">
        <f t="shared" si="0"/>
        <v>99.33774834437085</v>
      </c>
    </row>
    <row r="17" spans="1:8" ht="12.75">
      <c r="A17" s="305">
        <v>8</v>
      </c>
      <c r="B17" s="860"/>
      <c r="C17" s="168" t="s">
        <v>1134</v>
      </c>
      <c r="D17" s="168" t="s">
        <v>1165</v>
      </c>
      <c r="E17" s="878" t="s">
        <v>1132</v>
      </c>
      <c r="F17" s="168">
        <v>17</v>
      </c>
      <c r="G17" s="168">
        <v>16</v>
      </c>
      <c r="H17" s="889">
        <f t="shared" si="0"/>
        <v>94.11764705882352</v>
      </c>
    </row>
    <row r="18" spans="1:8" ht="12.75">
      <c r="A18" s="305">
        <v>9</v>
      </c>
      <c r="B18" s="860" t="s">
        <v>1170</v>
      </c>
      <c r="C18" s="168" t="s">
        <v>1137</v>
      </c>
      <c r="D18" s="168" t="s">
        <v>1169</v>
      </c>
      <c r="E18" s="878" t="s">
        <v>1168</v>
      </c>
      <c r="F18" s="168">
        <v>109</v>
      </c>
      <c r="G18" s="168">
        <v>155</v>
      </c>
      <c r="H18" s="889">
        <f t="shared" si="0"/>
        <v>142.2018348623853</v>
      </c>
    </row>
    <row r="19" spans="1:8" ht="12.75">
      <c r="A19" s="305">
        <v>10</v>
      </c>
      <c r="B19" s="860"/>
      <c r="C19" s="168" t="s">
        <v>1134</v>
      </c>
      <c r="D19" s="168" t="s">
        <v>1165</v>
      </c>
      <c r="E19" s="878" t="s">
        <v>1135</v>
      </c>
      <c r="F19" s="168">
        <v>12</v>
      </c>
      <c r="G19" s="168">
        <v>17</v>
      </c>
      <c r="H19" s="889">
        <f t="shared" si="0"/>
        <v>141.66666666666669</v>
      </c>
    </row>
    <row r="20" spans="1:8" ht="12.75">
      <c r="A20" s="305">
        <v>11</v>
      </c>
      <c r="B20" s="860" t="s">
        <v>1167</v>
      </c>
      <c r="C20" s="168" t="s">
        <v>1137</v>
      </c>
      <c r="D20" s="168" t="s">
        <v>1166</v>
      </c>
      <c r="E20" s="878" t="s">
        <v>466</v>
      </c>
      <c r="F20" s="168">
        <v>32</v>
      </c>
      <c r="G20" s="168">
        <v>38</v>
      </c>
      <c r="H20" s="889">
        <f t="shared" si="0"/>
        <v>118.75</v>
      </c>
    </row>
    <row r="21" spans="1:8" ht="12.75">
      <c r="A21" s="305">
        <v>12</v>
      </c>
      <c r="B21" s="860"/>
      <c r="C21" s="168" t="s">
        <v>1134</v>
      </c>
      <c r="D21" s="168" t="s">
        <v>1165</v>
      </c>
      <c r="E21" s="878" t="s">
        <v>1135</v>
      </c>
      <c r="F21" s="168">
        <v>2</v>
      </c>
      <c r="G21" s="168">
        <v>2</v>
      </c>
      <c r="H21" s="889">
        <f t="shared" si="0"/>
        <v>100</v>
      </c>
    </row>
    <row r="22" spans="1:8" ht="12.75">
      <c r="A22" s="305">
        <v>13</v>
      </c>
      <c r="B22" s="860" t="s">
        <v>1164</v>
      </c>
      <c r="C22" s="168" t="s">
        <v>1137</v>
      </c>
      <c r="D22" s="168" t="s">
        <v>1163</v>
      </c>
      <c r="E22" s="878" t="s">
        <v>1135</v>
      </c>
      <c r="F22" s="168">
        <v>13</v>
      </c>
      <c r="G22" s="168">
        <v>16</v>
      </c>
      <c r="H22" s="889">
        <f t="shared" si="0"/>
        <v>123.07692307692308</v>
      </c>
    </row>
    <row r="23" spans="1:8" ht="12.75">
      <c r="A23" s="305">
        <v>14</v>
      </c>
      <c r="B23" s="860"/>
      <c r="C23" s="168" t="s">
        <v>1134</v>
      </c>
      <c r="D23" s="168" t="s">
        <v>1162</v>
      </c>
      <c r="E23" s="878" t="s">
        <v>466</v>
      </c>
      <c r="F23" s="168">
        <v>1</v>
      </c>
      <c r="G23" s="168">
        <v>1</v>
      </c>
      <c r="H23" s="889">
        <f t="shared" si="0"/>
        <v>100</v>
      </c>
    </row>
    <row r="24" spans="1:8" ht="12.75">
      <c r="A24" s="305">
        <v>15</v>
      </c>
      <c r="B24" s="860" t="s">
        <v>1161</v>
      </c>
      <c r="C24" s="168" t="s">
        <v>1137</v>
      </c>
      <c r="D24" s="168" t="s">
        <v>1160</v>
      </c>
      <c r="E24" s="878" t="s">
        <v>1135</v>
      </c>
      <c r="F24" s="168">
        <v>2</v>
      </c>
      <c r="G24" s="168">
        <v>2</v>
      </c>
      <c r="H24" s="889">
        <f t="shared" si="0"/>
        <v>100</v>
      </c>
    </row>
    <row r="25" spans="1:8" ht="12.75">
      <c r="A25" s="305">
        <v>16</v>
      </c>
      <c r="B25" s="860"/>
      <c r="C25" s="168" t="s">
        <v>1134</v>
      </c>
      <c r="D25" s="168" t="s">
        <v>1159</v>
      </c>
      <c r="E25" s="878" t="s">
        <v>466</v>
      </c>
      <c r="F25" s="168">
        <v>1825</v>
      </c>
      <c r="G25" s="168">
        <v>1859</v>
      </c>
      <c r="H25" s="889">
        <f t="shared" si="0"/>
        <v>101.86301369863014</v>
      </c>
    </row>
    <row r="26" spans="1:8" ht="12.75">
      <c r="A26" s="305">
        <v>17</v>
      </c>
      <c r="B26" s="860" t="s">
        <v>1158</v>
      </c>
      <c r="C26" s="168" t="s">
        <v>1134</v>
      </c>
      <c r="D26" s="168" t="s">
        <v>1144</v>
      </c>
      <c r="E26" s="878" t="s">
        <v>466</v>
      </c>
      <c r="F26" s="748">
        <v>0</v>
      </c>
      <c r="G26" s="748">
        <v>1</v>
      </c>
      <c r="H26" s="889">
        <v>0</v>
      </c>
    </row>
    <row r="27" spans="1:8" ht="12.75">
      <c r="A27" s="888"/>
      <c r="B27" s="887"/>
      <c r="C27" s="885"/>
      <c r="D27" s="885"/>
      <c r="E27" s="885"/>
      <c r="F27" s="779"/>
      <c r="G27" s="779"/>
      <c r="H27" s="886"/>
    </row>
    <row r="28" spans="1:8" ht="12.75">
      <c r="A28" s="510"/>
      <c r="B28" s="885"/>
      <c r="C28" s="885"/>
      <c r="D28" s="885"/>
      <c r="E28" s="885"/>
      <c r="F28" s="779"/>
      <c r="G28" s="779"/>
      <c r="H28" s="886"/>
    </row>
    <row r="29" spans="1:8" ht="12.75">
      <c r="A29" s="510"/>
      <c r="B29" s="885"/>
      <c r="C29" s="885"/>
      <c r="D29" s="885"/>
      <c r="E29" s="885"/>
      <c r="F29" s="779"/>
      <c r="G29" s="779"/>
      <c r="H29" s="886"/>
    </row>
    <row r="30" spans="1:8" ht="12.75">
      <c r="A30" s="510"/>
      <c r="B30" s="885"/>
      <c r="C30" s="885"/>
      <c r="D30" s="885"/>
      <c r="E30" s="885"/>
      <c r="F30" s="779"/>
      <c r="G30" s="779"/>
      <c r="H30" s="886"/>
    </row>
    <row r="31" spans="1:8" ht="12.75">
      <c r="A31" s="510"/>
      <c r="B31" s="885"/>
      <c r="C31" s="885"/>
      <c r="D31" s="885"/>
      <c r="E31" s="885"/>
      <c r="F31" s="779"/>
      <c r="G31" s="779"/>
      <c r="H31" s="886"/>
    </row>
    <row r="32" spans="1:8" ht="12.75">
      <c r="A32" s="510"/>
      <c r="B32" s="885"/>
      <c r="C32" s="885"/>
      <c r="D32" s="885"/>
      <c r="E32" s="885"/>
      <c r="F32" s="779"/>
      <c r="G32" s="779"/>
      <c r="H32" s="886"/>
    </row>
    <row r="33" spans="1:8" ht="12.75">
      <c r="A33" s="510"/>
      <c r="B33" s="885"/>
      <c r="C33" s="885"/>
      <c r="D33" s="885"/>
      <c r="E33" s="885"/>
      <c r="F33" s="779"/>
      <c r="G33" s="779"/>
      <c r="H33" s="886"/>
    </row>
    <row r="34" spans="1:8" ht="12.75">
      <c r="A34" s="510"/>
      <c r="B34" s="885"/>
      <c r="C34" s="885"/>
      <c r="D34" s="885"/>
      <c r="E34" s="885"/>
      <c r="F34" s="779"/>
      <c r="G34" s="779"/>
      <c r="H34" s="886"/>
    </row>
    <row r="35" spans="1:8" ht="12.75">
      <c r="A35" s="510"/>
      <c r="B35" s="885"/>
      <c r="C35" s="885"/>
      <c r="D35" s="885"/>
      <c r="E35" s="885"/>
      <c r="F35" s="779"/>
      <c r="G35" s="779"/>
      <c r="H35" s="886"/>
    </row>
    <row r="36" spans="1:8" ht="12.75">
      <c r="A36" s="510"/>
      <c r="B36" s="885"/>
      <c r="C36" s="885"/>
      <c r="D36" s="885"/>
      <c r="E36" s="885"/>
      <c r="F36" s="779"/>
      <c r="G36" s="779"/>
      <c r="H36" s="886"/>
    </row>
    <row r="37" spans="1:8" ht="12.75">
      <c r="A37" s="510"/>
      <c r="B37" s="885"/>
      <c r="C37" s="885"/>
      <c r="D37" s="885"/>
      <c r="E37" s="885"/>
      <c r="F37" s="779"/>
      <c r="G37" s="779"/>
      <c r="H37" s="884"/>
    </row>
    <row r="38" spans="1:8" ht="12.75">
      <c r="A38" s="510"/>
      <c r="B38" s="1770" t="s">
        <v>1186</v>
      </c>
      <c r="C38" s="1770"/>
      <c r="D38" s="1770"/>
      <c r="E38" s="1770"/>
      <c r="F38" s="1770"/>
      <c r="G38" s="170" t="s">
        <v>406</v>
      </c>
      <c r="H38" s="883"/>
    </row>
    <row r="39" spans="1:8" ht="12.75">
      <c r="A39" s="510"/>
      <c r="B39" s="1770" t="s">
        <v>1130</v>
      </c>
      <c r="C39" s="1770"/>
      <c r="D39" s="1770"/>
      <c r="E39" s="1770"/>
      <c r="F39" s="1770"/>
      <c r="G39" s="1770"/>
      <c r="H39" s="1770"/>
    </row>
    <row r="40" spans="1:8" ht="12.75">
      <c r="A40" s="510"/>
      <c r="B40" s="1770" t="s">
        <v>1185</v>
      </c>
      <c r="C40" s="1770"/>
      <c r="D40" s="1770"/>
      <c r="E40" s="1770"/>
      <c r="F40" s="1770"/>
      <c r="G40" s="1770"/>
      <c r="H40" s="1770"/>
    </row>
    <row r="41" spans="1:8" ht="12.75">
      <c r="A41" s="510"/>
      <c r="E41" s="155"/>
      <c r="F41" s="155"/>
      <c r="G41" s="1377" t="s">
        <v>1001</v>
      </c>
      <c r="H41" s="1377"/>
    </row>
    <row r="42" spans="1:8" ht="13.5" thickBot="1">
      <c r="A42" s="1750"/>
      <c r="B42" s="133" t="s">
        <v>41</v>
      </c>
      <c r="C42" s="110" t="s">
        <v>27</v>
      </c>
      <c r="D42" s="110" t="s">
        <v>28</v>
      </c>
      <c r="E42" s="110" t="s">
        <v>29</v>
      </c>
      <c r="F42" s="110" t="s">
        <v>30</v>
      </c>
      <c r="G42" s="110" t="s">
        <v>439</v>
      </c>
      <c r="H42" s="38" t="s">
        <v>438</v>
      </c>
    </row>
    <row r="43" spans="1:8" ht="12.75">
      <c r="A43" s="1751"/>
      <c r="B43" s="1763" t="s">
        <v>1157</v>
      </c>
      <c r="C43" s="1735" t="s">
        <v>1156</v>
      </c>
      <c r="D43" s="1736"/>
      <c r="E43" s="1736"/>
      <c r="F43" s="1736"/>
      <c r="G43" s="1736"/>
      <c r="H43" s="1766"/>
    </row>
    <row r="44" spans="1:8" ht="13.5" thickBot="1">
      <c r="A44" s="1751"/>
      <c r="B44" s="1764"/>
      <c r="C44" s="1767" t="s">
        <v>1181</v>
      </c>
      <c r="D44" s="1768"/>
      <c r="E44" s="1768"/>
      <c r="F44" s="1768"/>
      <c r="G44" s="1768"/>
      <c r="H44" s="1769"/>
    </row>
    <row r="45" spans="1:8" ht="13.5" thickBot="1">
      <c r="A45" s="1752"/>
      <c r="B45" s="1765"/>
      <c r="C45" s="870" t="s">
        <v>1154</v>
      </c>
      <c r="D45" s="869" t="s">
        <v>1153</v>
      </c>
      <c r="E45" s="882" t="s">
        <v>1152</v>
      </c>
      <c r="F45" s="868">
        <v>39813</v>
      </c>
      <c r="G45" s="868">
        <v>40178</v>
      </c>
      <c r="H45" s="881" t="s">
        <v>21</v>
      </c>
    </row>
    <row r="46" spans="1:8" ht="12.75">
      <c r="A46" s="305">
        <v>18</v>
      </c>
      <c r="B46" s="866" t="s">
        <v>1151</v>
      </c>
      <c r="C46" s="865" t="s">
        <v>1137</v>
      </c>
      <c r="D46" s="865"/>
      <c r="E46" s="880"/>
      <c r="F46" s="865"/>
      <c r="G46" s="865"/>
      <c r="H46" s="879"/>
    </row>
    <row r="47" spans="1:8" ht="12.75">
      <c r="A47" s="305">
        <v>19</v>
      </c>
      <c r="B47" s="860"/>
      <c r="C47" s="168" t="s">
        <v>1134</v>
      </c>
      <c r="D47" s="168" t="s">
        <v>1150</v>
      </c>
      <c r="E47" s="878" t="s">
        <v>466</v>
      </c>
      <c r="F47" s="168">
        <v>41</v>
      </c>
      <c r="G47" s="168">
        <v>41</v>
      </c>
      <c r="H47" s="877">
        <f>G47/F47*100</f>
        <v>100</v>
      </c>
    </row>
    <row r="48" spans="1:8" ht="12.75">
      <c r="A48" s="305">
        <v>20</v>
      </c>
      <c r="B48" s="860" t="s">
        <v>1149</v>
      </c>
      <c r="C48" s="168" t="s">
        <v>1137</v>
      </c>
      <c r="D48" s="168"/>
      <c r="E48" s="878"/>
      <c r="F48" s="168"/>
      <c r="G48" s="168"/>
      <c r="H48" s="877"/>
    </row>
    <row r="49" spans="1:8" ht="12.75">
      <c r="A49" s="305">
        <v>21</v>
      </c>
      <c r="B49" s="860"/>
      <c r="C49" s="168" t="s">
        <v>1134</v>
      </c>
      <c r="D49" s="168" t="s">
        <v>1148</v>
      </c>
      <c r="E49" s="878" t="s">
        <v>1147</v>
      </c>
      <c r="F49" s="168">
        <v>435</v>
      </c>
      <c r="G49" s="168">
        <v>435</v>
      </c>
      <c r="H49" s="877">
        <f>G49/F49*100</f>
        <v>100</v>
      </c>
    </row>
    <row r="50" spans="1:8" ht="12.75">
      <c r="A50" s="305">
        <v>22</v>
      </c>
      <c r="B50" s="860" t="s">
        <v>1146</v>
      </c>
      <c r="C50" s="168" t="s">
        <v>1137</v>
      </c>
      <c r="D50" s="168"/>
      <c r="E50" s="878"/>
      <c r="F50" s="168"/>
      <c r="G50" s="168"/>
      <c r="H50" s="877"/>
    </row>
    <row r="51" spans="1:8" ht="12.75">
      <c r="A51" s="305">
        <v>23</v>
      </c>
      <c r="B51" s="860"/>
      <c r="C51" s="168" t="s">
        <v>1134</v>
      </c>
      <c r="D51" s="168" t="s">
        <v>1144</v>
      </c>
      <c r="E51" s="878" t="s">
        <v>466</v>
      </c>
      <c r="F51" s="168">
        <v>108</v>
      </c>
      <c r="G51" s="168">
        <v>147</v>
      </c>
      <c r="H51" s="877">
        <f>G51/F51*100</f>
        <v>136.11111111111111</v>
      </c>
    </row>
    <row r="52" spans="1:8" ht="12.75">
      <c r="A52" s="305">
        <v>24</v>
      </c>
      <c r="B52" s="860" t="s">
        <v>1145</v>
      </c>
      <c r="C52" s="168" t="s">
        <v>1137</v>
      </c>
      <c r="D52" s="168"/>
      <c r="E52" s="878"/>
      <c r="F52" s="168"/>
      <c r="G52" s="168"/>
      <c r="H52" s="877"/>
    </row>
    <row r="53" spans="1:8" ht="12.75">
      <c r="A53" s="305">
        <v>25</v>
      </c>
      <c r="B53" s="860"/>
      <c r="C53" s="168" t="s">
        <v>1134</v>
      </c>
      <c r="D53" s="168" t="s">
        <v>1144</v>
      </c>
      <c r="E53" s="878" t="s">
        <v>466</v>
      </c>
      <c r="F53" s="168">
        <v>8</v>
      </c>
      <c r="G53" s="168">
        <v>13</v>
      </c>
      <c r="H53" s="877">
        <f>G53/F53*100</f>
        <v>162.5</v>
      </c>
    </row>
    <row r="54" spans="1:8" ht="12.75">
      <c r="A54" s="305">
        <v>26</v>
      </c>
      <c r="B54" s="860" t="s">
        <v>1143</v>
      </c>
      <c r="C54" s="168" t="s">
        <v>1134</v>
      </c>
      <c r="D54" s="168" t="s">
        <v>1141</v>
      </c>
      <c r="E54" s="878" t="s">
        <v>466</v>
      </c>
      <c r="F54" s="168">
        <v>0</v>
      </c>
      <c r="G54" s="168">
        <v>124</v>
      </c>
      <c r="H54" s="877">
        <v>0</v>
      </c>
    </row>
    <row r="55" spans="1:8" ht="12.75">
      <c r="A55" s="305">
        <v>27</v>
      </c>
      <c r="B55" s="860" t="s">
        <v>1142</v>
      </c>
      <c r="C55" s="168" t="s">
        <v>1137</v>
      </c>
      <c r="D55" s="168"/>
      <c r="E55" s="878"/>
      <c r="F55" s="168"/>
      <c r="G55" s="168"/>
      <c r="H55" s="877"/>
    </row>
    <row r="56" spans="1:8" ht="12.75">
      <c r="A56" s="305">
        <v>28</v>
      </c>
      <c r="B56" s="860"/>
      <c r="C56" s="168" t="s">
        <v>1134</v>
      </c>
      <c r="D56" s="168" t="s">
        <v>1141</v>
      </c>
      <c r="E56" s="878" t="s">
        <v>466</v>
      </c>
      <c r="F56" s="168">
        <v>275</v>
      </c>
      <c r="G56" s="168">
        <v>142</v>
      </c>
      <c r="H56" s="877">
        <f>G56/F56*100</f>
        <v>51.63636363636363</v>
      </c>
    </row>
    <row r="57" spans="1:8" ht="12.75">
      <c r="A57" s="305">
        <v>29</v>
      </c>
      <c r="B57" s="860" t="s">
        <v>1140</v>
      </c>
      <c r="C57" s="168" t="s">
        <v>1137</v>
      </c>
      <c r="D57" s="168" t="s">
        <v>1139</v>
      </c>
      <c r="E57" s="878" t="s">
        <v>1135</v>
      </c>
      <c r="F57" s="168">
        <v>1</v>
      </c>
      <c r="G57" s="168">
        <v>1</v>
      </c>
      <c r="H57" s="877">
        <f>G57/F57*100</f>
        <v>100</v>
      </c>
    </row>
    <row r="58" spans="1:8" ht="12.75">
      <c r="A58" s="305">
        <v>30</v>
      </c>
      <c r="B58" s="860" t="s">
        <v>1138</v>
      </c>
      <c r="C58" s="168" t="s">
        <v>1137</v>
      </c>
      <c r="D58" s="168" t="s">
        <v>1136</v>
      </c>
      <c r="E58" s="878" t="s">
        <v>1135</v>
      </c>
      <c r="F58" s="168">
        <v>1</v>
      </c>
      <c r="G58" s="168">
        <v>1</v>
      </c>
      <c r="H58" s="877">
        <f>G58/F58*100</f>
        <v>100</v>
      </c>
    </row>
    <row r="59" spans="1:8" ht="12.75">
      <c r="A59" s="305">
        <v>31</v>
      </c>
      <c r="B59" s="860"/>
      <c r="C59" s="168" t="s">
        <v>1134</v>
      </c>
      <c r="D59" s="168" t="s">
        <v>1133</v>
      </c>
      <c r="E59" s="878" t="s">
        <v>1132</v>
      </c>
      <c r="F59" s="168">
        <v>11497</v>
      </c>
      <c r="G59" s="168">
        <v>10992</v>
      </c>
      <c r="H59" s="877">
        <f>G59/F59*100</f>
        <v>95.60754979559886</v>
      </c>
    </row>
    <row r="64" ht="12.75">
      <c r="D64" s="6"/>
    </row>
  </sheetData>
  <sheetProtection/>
  <mergeCells count="17">
    <mergeCell ref="C8:H8"/>
    <mergeCell ref="B43:B45"/>
    <mergeCell ref="C43:H43"/>
    <mergeCell ref="C44:H44"/>
    <mergeCell ref="B39:H39"/>
    <mergeCell ref="B40:H40"/>
    <mergeCell ref="B38:F38"/>
    <mergeCell ref="G1:H1"/>
    <mergeCell ref="A42:A45"/>
    <mergeCell ref="B2:G2"/>
    <mergeCell ref="B3:G3"/>
    <mergeCell ref="B4:G4"/>
    <mergeCell ref="A6:A9"/>
    <mergeCell ref="G5:H5"/>
    <mergeCell ref="G41:H41"/>
    <mergeCell ref="B7:B9"/>
    <mergeCell ref="C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61">
      <selection activeCell="A8" sqref="A8:J78"/>
    </sheetView>
  </sheetViews>
  <sheetFormatPr defaultColWidth="9.140625" defaultRowHeight="12.75"/>
  <cols>
    <col min="1" max="1" width="34.00390625" style="0" customWidth="1"/>
    <col min="2" max="2" width="9.57421875" style="0" customWidth="1"/>
    <col min="3" max="4" width="3.8515625" style="0" customWidth="1"/>
    <col min="5" max="5" width="13.8515625" style="0" customWidth="1"/>
    <col min="6" max="6" width="9.7109375" style="0" customWidth="1"/>
    <col min="7" max="7" width="4.421875" style="0" customWidth="1"/>
    <col min="8" max="8" width="4.8515625" style="0" customWidth="1"/>
    <col min="9" max="9" width="12.28125" style="0" customWidth="1"/>
    <col min="10" max="10" width="4.00390625" style="0" customWidth="1"/>
  </cols>
  <sheetData>
    <row r="1" spans="1:9" s="245" customFormat="1" ht="12.75">
      <c r="A1" s="1362"/>
      <c r="B1" s="1362"/>
      <c r="C1" s="1362"/>
      <c r="D1" s="1362"/>
      <c r="E1" s="1362"/>
      <c r="F1" s="1362"/>
      <c r="G1" s="1362"/>
      <c r="H1" s="1362"/>
      <c r="I1" s="1362"/>
    </row>
    <row r="2" s="1773" customFormat="1" ht="11.25">
      <c r="A2" s="1772" t="s">
        <v>1262</v>
      </c>
    </row>
    <row r="3" s="1772" customFormat="1" ht="11.25">
      <c r="A3" s="1772" t="s">
        <v>1261</v>
      </c>
    </row>
    <row r="4" s="1773" customFormat="1" ht="11.25">
      <c r="A4" s="1773" t="s">
        <v>1260</v>
      </c>
    </row>
    <row r="5" spans="1:9" s="245" customFormat="1" ht="11.25">
      <c r="A5" s="1773" t="s">
        <v>1259</v>
      </c>
      <c r="B5" s="1773"/>
      <c r="C5" s="1773"/>
      <c r="D5" s="1773"/>
      <c r="E5" s="1773"/>
      <c r="F5" s="1773"/>
      <c r="G5" s="1773"/>
      <c r="H5" s="1773"/>
      <c r="I5" s="1773"/>
    </row>
    <row r="6" s="245" customFormat="1" ht="11.25"/>
    <row r="7" s="245" customFormat="1" ht="11.25"/>
    <row r="8" spans="1:10" s="245" customFormat="1" ht="11.25">
      <c r="A8" s="208" t="s">
        <v>41</v>
      </c>
      <c r="B8" s="208" t="s">
        <v>27</v>
      </c>
      <c r="C8" s="208" t="s">
        <v>28</v>
      </c>
      <c r="D8" s="208" t="s">
        <v>29</v>
      </c>
      <c r="E8" s="208" t="s">
        <v>30</v>
      </c>
      <c r="F8" s="208" t="s">
        <v>439</v>
      </c>
      <c r="G8" s="208" t="s">
        <v>438</v>
      </c>
      <c r="H8" s="208" t="s">
        <v>437</v>
      </c>
      <c r="I8" s="210" t="s">
        <v>436</v>
      </c>
      <c r="J8" s="1331"/>
    </row>
    <row r="9" spans="1:10" s="245" customFormat="1" ht="11.25">
      <c r="A9" s="1747" t="s">
        <v>1258</v>
      </c>
      <c r="B9" s="962" t="s">
        <v>1257</v>
      </c>
      <c r="C9" s="1294" t="s">
        <v>1256</v>
      </c>
      <c r="D9" s="1295"/>
      <c r="E9" s="1254"/>
      <c r="F9" s="961" t="s">
        <v>1255</v>
      </c>
      <c r="G9" s="446"/>
      <c r="H9" s="960" t="s">
        <v>1254</v>
      </c>
      <c r="I9" s="366"/>
      <c r="J9" s="1332"/>
    </row>
    <row r="10" spans="1:10" s="245" customFormat="1" ht="33.75" thickBot="1">
      <c r="A10" s="1771"/>
      <c r="B10" s="959" t="s">
        <v>1253</v>
      </c>
      <c r="C10" s="956" t="s">
        <v>1252</v>
      </c>
      <c r="D10" s="956" t="s">
        <v>1249</v>
      </c>
      <c r="E10" s="958" t="s">
        <v>1248</v>
      </c>
      <c r="F10" s="957" t="s">
        <v>1251</v>
      </c>
      <c r="G10" s="956" t="s">
        <v>1250</v>
      </c>
      <c r="H10" s="956" t="s">
        <v>1249</v>
      </c>
      <c r="I10" s="955" t="s">
        <v>1248</v>
      </c>
      <c r="J10" s="1310"/>
    </row>
    <row r="11" spans="1:10" s="245" customFormat="1" ht="11.25">
      <c r="A11" s="954" t="s">
        <v>1247</v>
      </c>
      <c r="B11" s="952">
        <v>1057</v>
      </c>
      <c r="C11" s="306"/>
      <c r="D11" s="950">
        <v>3768</v>
      </c>
      <c r="E11" s="953">
        <v>3982776</v>
      </c>
      <c r="F11" s="952"/>
      <c r="G11" s="951"/>
      <c r="H11" s="950">
        <v>3768</v>
      </c>
      <c r="I11" s="949">
        <v>3982776</v>
      </c>
      <c r="J11" s="110">
        <v>1</v>
      </c>
    </row>
    <row r="12" spans="1:10" s="245" customFormat="1" ht="11.25">
      <c r="A12" s="923" t="s">
        <v>1246</v>
      </c>
      <c r="B12" s="947">
        <v>515</v>
      </c>
      <c r="C12" s="628"/>
      <c r="D12" s="946">
        <v>3768</v>
      </c>
      <c r="E12" s="948">
        <v>1940520</v>
      </c>
      <c r="F12" s="947"/>
      <c r="G12" s="628"/>
      <c r="H12" s="946">
        <v>3768</v>
      </c>
      <c r="I12" s="945">
        <v>1940520</v>
      </c>
      <c r="J12" s="110">
        <v>2</v>
      </c>
    </row>
    <row r="13" spans="1:10" s="245" customFormat="1" ht="11.25">
      <c r="A13" s="923" t="s">
        <v>1245</v>
      </c>
      <c r="B13" s="947">
        <v>500</v>
      </c>
      <c r="C13" s="628"/>
      <c r="D13" s="946">
        <v>3768</v>
      </c>
      <c r="E13" s="948">
        <v>1884000</v>
      </c>
      <c r="F13" s="947"/>
      <c r="G13" s="628"/>
      <c r="H13" s="946">
        <v>3768</v>
      </c>
      <c r="I13" s="945">
        <v>1884000</v>
      </c>
      <c r="J13" s="110">
        <v>3</v>
      </c>
    </row>
    <row r="14" spans="1:10" s="245" customFormat="1" ht="11.25">
      <c r="A14" s="923" t="s">
        <v>1244</v>
      </c>
      <c r="B14" s="947">
        <v>3300000</v>
      </c>
      <c r="C14" s="628"/>
      <c r="D14" s="946">
        <v>1</v>
      </c>
      <c r="E14" s="948">
        <v>3300000</v>
      </c>
      <c r="F14" s="947"/>
      <c r="G14" s="628"/>
      <c r="H14" s="946">
        <v>1</v>
      </c>
      <c r="I14" s="945">
        <v>3300000</v>
      </c>
      <c r="J14" s="110">
        <v>4</v>
      </c>
    </row>
    <row r="15" spans="1:10" s="245" customFormat="1" ht="11.25">
      <c r="A15" s="923" t="s">
        <v>1243</v>
      </c>
      <c r="B15" s="947">
        <v>324</v>
      </c>
      <c r="C15" s="628"/>
      <c r="D15" s="946">
        <v>13939</v>
      </c>
      <c r="E15" s="948">
        <v>4516236</v>
      </c>
      <c r="F15" s="947"/>
      <c r="G15" s="628"/>
      <c r="H15" s="946">
        <v>13939</v>
      </c>
      <c r="I15" s="945">
        <v>4516236</v>
      </c>
      <c r="J15" s="110">
        <v>5</v>
      </c>
    </row>
    <row r="16" spans="1:10" s="245" customFormat="1" ht="11.25">
      <c r="A16" s="923" t="s">
        <v>1242</v>
      </c>
      <c r="B16" s="947">
        <v>70</v>
      </c>
      <c r="C16" s="628"/>
      <c r="D16" s="946">
        <v>6187</v>
      </c>
      <c r="E16" s="948">
        <v>433090</v>
      </c>
      <c r="F16" s="947"/>
      <c r="G16" s="628"/>
      <c r="H16" s="946">
        <v>6187</v>
      </c>
      <c r="I16" s="945">
        <v>433090</v>
      </c>
      <c r="J16" s="110">
        <v>6</v>
      </c>
    </row>
    <row r="17" spans="1:10" s="245" customFormat="1" ht="11.25">
      <c r="A17" s="923" t="s">
        <v>1241</v>
      </c>
      <c r="B17" s="947">
        <v>7737</v>
      </c>
      <c r="C17" s="628"/>
      <c r="D17" s="946">
        <v>133</v>
      </c>
      <c r="E17" s="948">
        <v>1029021</v>
      </c>
      <c r="F17" s="947"/>
      <c r="G17" s="628"/>
      <c r="H17" s="946">
        <v>133</v>
      </c>
      <c r="I17" s="945">
        <v>1029021</v>
      </c>
      <c r="J17" s="110">
        <v>7</v>
      </c>
    </row>
    <row r="18" spans="1:10" s="245" customFormat="1" ht="11.25">
      <c r="A18" s="923" t="s">
        <v>1240</v>
      </c>
      <c r="B18" s="947">
        <v>3088</v>
      </c>
      <c r="C18" s="628"/>
      <c r="D18" s="946">
        <v>81</v>
      </c>
      <c r="E18" s="948">
        <v>250128</v>
      </c>
      <c r="F18" s="947"/>
      <c r="G18" s="628"/>
      <c r="H18" s="946">
        <v>81</v>
      </c>
      <c r="I18" s="945">
        <v>250128</v>
      </c>
      <c r="J18" s="110">
        <v>8</v>
      </c>
    </row>
    <row r="19" spans="1:10" s="245" customFormat="1" ht="11.25">
      <c r="A19" s="923" t="s">
        <v>1239</v>
      </c>
      <c r="B19" s="947">
        <v>1061</v>
      </c>
      <c r="C19" s="628"/>
      <c r="D19" s="946">
        <v>3768</v>
      </c>
      <c r="E19" s="948">
        <v>3997848</v>
      </c>
      <c r="F19" s="947"/>
      <c r="G19" s="628"/>
      <c r="H19" s="946">
        <v>3768</v>
      </c>
      <c r="I19" s="945">
        <v>3997848</v>
      </c>
      <c r="J19" s="110">
        <v>9</v>
      </c>
    </row>
    <row r="20" spans="1:10" s="245" customFormat="1" ht="11.25">
      <c r="A20" s="923" t="s">
        <v>1238</v>
      </c>
      <c r="B20" s="947">
        <v>0</v>
      </c>
      <c r="C20" s="628"/>
      <c r="D20" s="946">
        <v>3768</v>
      </c>
      <c r="E20" s="948">
        <v>18655368</v>
      </c>
      <c r="F20" s="947"/>
      <c r="G20" s="628"/>
      <c r="H20" s="946">
        <v>3768</v>
      </c>
      <c r="I20" s="945">
        <v>18655368</v>
      </c>
      <c r="J20" s="110">
        <v>10</v>
      </c>
    </row>
    <row r="21" spans="1:10" s="245" customFormat="1" ht="11.25">
      <c r="A21" s="933"/>
      <c r="B21" s="931"/>
      <c r="C21" s="930"/>
      <c r="D21" s="929"/>
      <c r="E21" s="932"/>
      <c r="F21" s="931"/>
      <c r="G21" s="930"/>
      <c r="H21" s="929"/>
      <c r="I21" s="928"/>
      <c r="J21" s="110">
        <v>11</v>
      </c>
    </row>
    <row r="22" spans="1:10" s="245" customFormat="1" ht="11.25">
      <c r="A22" s="923" t="s">
        <v>1237</v>
      </c>
      <c r="B22" s="947">
        <v>2550000</v>
      </c>
      <c r="C22" s="628">
        <v>6.2</v>
      </c>
      <c r="D22" s="946"/>
      <c r="E22" s="948">
        <v>10540000</v>
      </c>
      <c r="F22" s="947">
        <f aca="true" t="shared" si="0" ref="F22:F59">I22-E22</f>
        <v>170000</v>
      </c>
      <c r="G22" s="628">
        <v>6.3</v>
      </c>
      <c r="H22" s="946"/>
      <c r="I22" s="945">
        <v>10710000</v>
      </c>
      <c r="J22" s="110">
        <v>12</v>
      </c>
    </row>
    <row r="23" spans="1:10" s="245" customFormat="1" ht="11.25">
      <c r="A23" s="923" t="s">
        <v>1236</v>
      </c>
      <c r="B23" s="947">
        <v>2550000</v>
      </c>
      <c r="C23" s="628">
        <v>5.1</v>
      </c>
      <c r="D23" s="946"/>
      <c r="E23" s="948">
        <v>8670000</v>
      </c>
      <c r="F23" s="947">
        <f t="shared" si="0"/>
        <v>0</v>
      </c>
      <c r="G23" s="628">
        <v>5.1</v>
      </c>
      <c r="H23" s="946"/>
      <c r="I23" s="945">
        <v>8670000</v>
      </c>
      <c r="J23" s="110">
        <v>13</v>
      </c>
    </row>
    <row r="24" spans="1:10" s="245" customFormat="1" ht="11.25">
      <c r="A24" s="923" t="s">
        <v>1235</v>
      </c>
      <c r="B24" s="947">
        <v>2540000</v>
      </c>
      <c r="C24" s="628">
        <v>10.7</v>
      </c>
      <c r="D24" s="946"/>
      <c r="E24" s="948">
        <v>9059333</v>
      </c>
      <c r="F24" s="947">
        <f t="shared" si="0"/>
        <v>-84666</v>
      </c>
      <c r="G24" s="628">
        <v>10.6</v>
      </c>
      <c r="H24" s="946"/>
      <c r="I24" s="945">
        <v>8974667</v>
      </c>
      <c r="J24" s="110">
        <v>14</v>
      </c>
    </row>
    <row r="25" spans="1:10" s="245" customFormat="1" ht="11.25">
      <c r="A25" s="923" t="s">
        <v>1234</v>
      </c>
      <c r="B25" s="947">
        <v>2550000</v>
      </c>
      <c r="C25" s="628">
        <v>4.9</v>
      </c>
      <c r="D25" s="946"/>
      <c r="E25" s="948">
        <v>8330000</v>
      </c>
      <c r="F25" s="947">
        <f t="shared" si="0"/>
        <v>0</v>
      </c>
      <c r="G25" s="628">
        <v>4.9</v>
      </c>
      <c r="H25" s="946"/>
      <c r="I25" s="945">
        <v>8330000</v>
      </c>
      <c r="J25" s="110">
        <v>15</v>
      </c>
    </row>
    <row r="26" spans="1:10" s="245" customFormat="1" ht="11.25">
      <c r="A26" s="923" t="s">
        <v>1233</v>
      </c>
      <c r="B26" s="947">
        <v>2550000</v>
      </c>
      <c r="C26" s="628">
        <v>2.7</v>
      </c>
      <c r="D26" s="946"/>
      <c r="E26" s="948">
        <v>4590000</v>
      </c>
      <c r="F26" s="947">
        <f t="shared" si="0"/>
        <v>0</v>
      </c>
      <c r="G26" s="628">
        <v>2.7</v>
      </c>
      <c r="H26" s="946"/>
      <c r="I26" s="945">
        <v>4590000</v>
      </c>
      <c r="J26" s="110">
        <v>16</v>
      </c>
    </row>
    <row r="27" spans="1:10" s="245" customFormat="1" ht="11.25">
      <c r="A27" s="923" t="s">
        <v>1232</v>
      </c>
      <c r="B27" s="947">
        <v>2550000</v>
      </c>
      <c r="C27" s="628">
        <v>4.3</v>
      </c>
      <c r="D27" s="946"/>
      <c r="E27" s="948">
        <v>7310000</v>
      </c>
      <c r="F27" s="947">
        <f t="shared" si="0"/>
        <v>0</v>
      </c>
      <c r="G27" s="628">
        <v>4.3</v>
      </c>
      <c r="H27" s="946"/>
      <c r="I27" s="945">
        <v>7310000</v>
      </c>
      <c r="J27" s="110">
        <v>17</v>
      </c>
    </row>
    <row r="28" spans="1:10" s="245" customFormat="1" ht="11.25">
      <c r="A28" s="923" t="s">
        <v>1231</v>
      </c>
      <c r="B28" s="947">
        <v>2550000</v>
      </c>
      <c r="C28" s="628">
        <v>4.2</v>
      </c>
      <c r="D28" s="946"/>
      <c r="E28" s="948">
        <v>7140000</v>
      </c>
      <c r="F28" s="947">
        <f t="shared" si="0"/>
        <v>0</v>
      </c>
      <c r="G28" s="628">
        <v>4.2</v>
      </c>
      <c r="H28" s="946"/>
      <c r="I28" s="945">
        <v>7140000</v>
      </c>
      <c r="J28" s="110">
        <v>18</v>
      </c>
    </row>
    <row r="29" spans="1:10" s="245" customFormat="1" ht="11.25">
      <c r="A29" s="923" t="s">
        <v>1230</v>
      </c>
      <c r="B29" s="947">
        <v>2550000</v>
      </c>
      <c r="C29" s="628">
        <v>7</v>
      </c>
      <c r="D29" s="946"/>
      <c r="E29" s="948">
        <v>11900000</v>
      </c>
      <c r="F29" s="947">
        <f t="shared" si="0"/>
        <v>0</v>
      </c>
      <c r="G29" s="628">
        <v>7</v>
      </c>
      <c r="H29" s="946"/>
      <c r="I29" s="945">
        <v>11900000</v>
      </c>
      <c r="J29" s="110">
        <v>19</v>
      </c>
    </row>
    <row r="30" spans="1:10" s="245" customFormat="1" ht="11.25">
      <c r="A30" s="923" t="s">
        <v>1229</v>
      </c>
      <c r="B30" s="947">
        <v>2540000</v>
      </c>
      <c r="C30" s="628">
        <v>4.9</v>
      </c>
      <c r="D30" s="946"/>
      <c r="E30" s="948">
        <v>4148667</v>
      </c>
      <c r="F30" s="947">
        <f t="shared" si="0"/>
        <v>-254000</v>
      </c>
      <c r="G30" s="628">
        <v>4.6</v>
      </c>
      <c r="H30" s="946"/>
      <c r="I30" s="945">
        <v>3894667</v>
      </c>
      <c r="J30" s="110">
        <v>20</v>
      </c>
    </row>
    <row r="31" spans="1:10" s="245" customFormat="1" ht="11.25">
      <c r="A31" s="923" t="s">
        <v>1228</v>
      </c>
      <c r="B31" s="947">
        <v>2540000</v>
      </c>
      <c r="C31" s="628">
        <v>2.3</v>
      </c>
      <c r="D31" s="946"/>
      <c r="E31" s="948">
        <v>1947333</v>
      </c>
      <c r="F31" s="947">
        <f t="shared" si="0"/>
        <v>0</v>
      </c>
      <c r="G31" s="628">
        <v>2.3</v>
      </c>
      <c r="H31" s="946"/>
      <c r="I31" s="945">
        <v>1947333</v>
      </c>
      <c r="J31" s="110">
        <v>21</v>
      </c>
    </row>
    <row r="32" spans="1:10" s="245" customFormat="1" ht="11.25">
      <c r="A32" s="923" t="s">
        <v>1227</v>
      </c>
      <c r="B32" s="947">
        <v>2540000</v>
      </c>
      <c r="C32" s="628">
        <v>3.3</v>
      </c>
      <c r="D32" s="946"/>
      <c r="E32" s="948">
        <v>2794000</v>
      </c>
      <c r="F32" s="947">
        <f t="shared" si="0"/>
        <v>-169333</v>
      </c>
      <c r="G32" s="628">
        <v>3.1</v>
      </c>
      <c r="H32" s="946"/>
      <c r="I32" s="945">
        <v>2624667</v>
      </c>
      <c r="J32" s="110">
        <v>22</v>
      </c>
    </row>
    <row r="33" spans="1:10" s="245" customFormat="1" ht="11.25">
      <c r="A33" s="923" t="s">
        <v>1226</v>
      </c>
      <c r="B33" s="947">
        <v>2540000</v>
      </c>
      <c r="C33" s="628">
        <v>5.7</v>
      </c>
      <c r="D33" s="946"/>
      <c r="E33" s="948">
        <v>4826000</v>
      </c>
      <c r="F33" s="947">
        <f t="shared" si="0"/>
        <v>-169333</v>
      </c>
      <c r="G33" s="628">
        <v>5.5</v>
      </c>
      <c r="H33" s="946"/>
      <c r="I33" s="945">
        <v>4656667</v>
      </c>
      <c r="J33" s="110">
        <v>23</v>
      </c>
    </row>
    <row r="34" spans="1:10" s="245" customFormat="1" ht="11.25">
      <c r="A34" s="923" t="s">
        <v>1225</v>
      </c>
      <c r="B34" s="947">
        <v>2540000</v>
      </c>
      <c r="C34" s="628">
        <v>2.1</v>
      </c>
      <c r="D34" s="946"/>
      <c r="E34" s="948">
        <v>1778000</v>
      </c>
      <c r="F34" s="947">
        <f t="shared" si="0"/>
        <v>84667</v>
      </c>
      <c r="G34" s="628">
        <v>2.2</v>
      </c>
      <c r="H34" s="946"/>
      <c r="I34" s="945">
        <v>1862667</v>
      </c>
      <c r="J34" s="110">
        <v>24</v>
      </c>
    </row>
    <row r="35" spans="1:10" s="245" customFormat="1" ht="11.25">
      <c r="A35" s="923" t="s">
        <v>1224</v>
      </c>
      <c r="B35" s="947">
        <v>2540000</v>
      </c>
      <c r="C35" s="628">
        <v>3.8</v>
      </c>
      <c r="D35" s="946"/>
      <c r="E35" s="948">
        <v>3217333</v>
      </c>
      <c r="F35" s="947">
        <f t="shared" si="0"/>
        <v>-423333</v>
      </c>
      <c r="G35" s="628">
        <v>3.3</v>
      </c>
      <c r="H35" s="946"/>
      <c r="I35" s="945">
        <v>2794000</v>
      </c>
      <c r="J35" s="110">
        <v>25</v>
      </c>
    </row>
    <row r="36" spans="1:10" s="245" customFormat="1" ht="11.25">
      <c r="A36" s="923" t="s">
        <v>1223</v>
      </c>
      <c r="B36" s="947">
        <v>2550000</v>
      </c>
      <c r="C36" s="628">
        <v>0.4</v>
      </c>
      <c r="D36" s="946">
        <v>38</v>
      </c>
      <c r="E36" s="948">
        <v>680000</v>
      </c>
      <c r="F36" s="947">
        <f t="shared" si="0"/>
        <v>-170000</v>
      </c>
      <c r="G36" s="628">
        <v>0.3</v>
      </c>
      <c r="H36" s="946">
        <v>31</v>
      </c>
      <c r="I36" s="945">
        <v>510000</v>
      </c>
      <c r="J36" s="110">
        <v>26</v>
      </c>
    </row>
    <row r="37" spans="1:10" s="245" customFormat="1" ht="11.25">
      <c r="A37" s="923" t="s">
        <v>1222</v>
      </c>
      <c r="B37" s="947">
        <v>2540000</v>
      </c>
      <c r="C37" s="628">
        <v>0.4</v>
      </c>
      <c r="D37" s="946">
        <v>40</v>
      </c>
      <c r="E37" s="948">
        <v>338667</v>
      </c>
      <c r="F37" s="947">
        <f t="shared" si="0"/>
        <v>84666</v>
      </c>
      <c r="G37" s="628">
        <v>0.5</v>
      </c>
      <c r="H37" s="946">
        <v>47</v>
      </c>
      <c r="I37" s="945">
        <v>423333</v>
      </c>
      <c r="J37" s="110">
        <v>27</v>
      </c>
    </row>
    <row r="38" spans="1:10" s="245" customFormat="1" ht="11.25">
      <c r="A38" s="923" t="s">
        <v>1221</v>
      </c>
      <c r="B38" s="947">
        <v>2550000</v>
      </c>
      <c r="C38" s="628">
        <v>0.9</v>
      </c>
      <c r="D38" s="946">
        <v>44</v>
      </c>
      <c r="E38" s="948">
        <v>1530000</v>
      </c>
      <c r="F38" s="947">
        <f t="shared" si="0"/>
        <v>0</v>
      </c>
      <c r="G38" s="628">
        <v>0.9</v>
      </c>
      <c r="H38" s="946">
        <v>44</v>
      </c>
      <c r="I38" s="945">
        <v>1530000</v>
      </c>
      <c r="J38" s="110">
        <v>28</v>
      </c>
    </row>
    <row r="39" spans="1:10" s="245" customFormat="1" ht="11.25">
      <c r="A39" s="923" t="s">
        <v>1220</v>
      </c>
      <c r="B39" s="947">
        <v>2550000</v>
      </c>
      <c r="C39" s="628">
        <v>0.7</v>
      </c>
      <c r="D39" s="946">
        <v>85</v>
      </c>
      <c r="E39" s="948">
        <v>1190000</v>
      </c>
      <c r="F39" s="947">
        <f t="shared" si="0"/>
        <v>0</v>
      </c>
      <c r="G39" s="628">
        <v>0.7</v>
      </c>
      <c r="H39" s="946">
        <v>85</v>
      </c>
      <c r="I39" s="945">
        <v>1190000</v>
      </c>
      <c r="J39" s="110">
        <v>29</v>
      </c>
    </row>
    <row r="40" spans="1:10" s="245" customFormat="1" ht="11.25">
      <c r="A40" s="923" t="s">
        <v>1219</v>
      </c>
      <c r="B40" s="947">
        <v>2540000</v>
      </c>
      <c r="C40" s="628">
        <v>0.9</v>
      </c>
      <c r="D40" s="946">
        <v>44</v>
      </c>
      <c r="E40" s="948">
        <v>762000</v>
      </c>
      <c r="F40" s="947">
        <f t="shared" si="0"/>
        <v>0</v>
      </c>
      <c r="G40" s="628">
        <v>0.9</v>
      </c>
      <c r="H40" s="946">
        <v>40</v>
      </c>
      <c r="I40" s="945">
        <v>762000</v>
      </c>
      <c r="J40" s="110">
        <v>30</v>
      </c>
    </row>
    <row r="41" spans="1:10" s="245" customFormat="1" ht="11.25">
      <c r="A41" s="923" t="s">
        <v>1218</v>
      </c>
      <c r="B41" s="947">
        <v>2540000</v>
      </c>
      <c r="C41" s="628">
        <v>0.7</v>
      </c>
      <c r="D41" s="946">
        <v>85</v>
      </c>
      <c r="E41" s="948">
        <v>592667</v>
      </c>
      <c r="F41" s="947">
        <f t="shared" si="0"/>
        <v>169333</v>
      </c>
      <c r="G41" s="628">
        <v>0.9</v>
      </c>
      <c r="H41" s="946">
        <v>110</v>
      </c>
      <c r="I41" s="945">
        <v>762000</v>
      </c>
      <c r="J41" s="110">
        <v>31</v>
      </c>
    </row>
    <row r="42" spans="1:10" s="245" customFormat="1" ht="11.25">
      <c r="A42" s="923" t="s">
        <v>1217</v>
      </c>
      <c r="B42" s="947">
        <v>240000</v>
      </c>
      <c r="C42" s="628"/>
      <c r="D42" s="946">
        <v>1</v>
      </c>
      <c r="E42" s="948">
        <v>160000</v>
      </c>
      <c r="F42" s="947">
        <f t="shared" si="0"/>
        <v>0</v>
      </c>
      <c r="G42" s="628"/>
      <c r="H42" s="946">
        <v>1</v>
      </c>
      <c r="I42" s="945">
        <v>160000</v>
      </c>
      <c r="J42" s="110">
        <v>32</v>
      </c>
    </row>
    <row r="43" spans="1:10" s="245" customFormat="1" ht="11.25">
      <c r="A43" s="923" t="s">
        <v>1216</v>
      </c>
      <c r="B43" s="947">
        <v>239000</v>
      </c>
      <c r="C43" s="628"/>
      <c r="D43" s="946">
        <v>1</v>
      </c>
      <c r="E43" s="948">
        <v>79667</v>
      </c>
      <c r="F43" s="947">
        <f t="shared" si="0"/>
        <v>0</v>
      </c>
      <c r="G43" s="628"/>
      <c r="H43" s="946">
        <v>1</v>
      </c>
      <c r="I43" s="945">
        <v>79667</v>
      </c>
      <c r="J43" s="110">
        <v>33</v>
      </c>
    </row>
    <row r="44" spans="1:10" s="245" customFormat="1" ht="11.25">
      <c r="A44" s="923" t="s">
        <v>1215</v>
      </c>
      <c r="B44" s="947">
        <v>384000</v>
      </c>
      <c r="C44" s="628"/>
      <c r="D44" s="946">
        <v>1</v>
      </c>
      <c r="E44" s="948">
        <v>256000</v>
      </c>
      <c r="F44" s="947">
        <f t="shared" si="0"/>
        <v>0</v>
      </c>
      <c r="G44" s="628"/>
      <c r="H44" s="946">
        <v>1</v>
      </c>
      <c r="I44" s="945">
        <v>256000</v>
      </c>
      <c r="J44" s="110">
        <v>34</v>
      </c>
    </row>
    <row r="45" spans="1:10" s="245" customFormat="1" ht="11.25">
      <c r="A45" s="923" t="s">
        <v>1214</v>
      </c>
      <c r="B45" s="947">
        <v>384000</v>
      </c>
      <c r="C45" s="628"/>
      <c r="D45" s="946">
        <v>1</v>
      </c>
      <c r="E45" s="948">
        <v>127467</v>
      </c>
      <c r="F45" s="947">
        <f t="shared" si="0"/>
        <v>0</v>
      </c>
      <c r="G45" s="628"/>
      <c r="H45" s="946">
        <v>1</v>
      </c>
      <c r="I45" s="945">
        <v>127467</v>
      </c>
      <c r="J45" s="110">
        <v>35</v>
      </c>
    </row>
    <row r="46" spans="1:10" s="245" customFormat="1" ht="11.25">
      <c r="A46" s="923" t="s">
        <v>1213</v>
      </c>
      <c r="B46" s="947">
        <v>192000</v>
      </c>
      <c r="C46" s="628"/>
      <c r="D46" s="946">
        <v>13</v>
      </c>
      <c r="E46" s="948">
        <v>1664000</v>
      </c>
      <c r="F46" s="947">
        <f t="shared" si="0"/>
        <v>0</v>
      </c>
      <c r="G46" s="628"/>
      <c r="H46" s="946">
        <v>13</v>
      </c>
      <c r="I46" s="945">
        <v>1664000</v>
      </c>
      <c r="J46" s="110">
        <v>36</v>
      </c>
    </row>
    <row r="47" spans="1:10" s="245" customFormat="1" ht="11.25">
      <c r="A47" s="923" t="s">
        <v>1212</v>
      </c>
      <c r="B47" s="947">
        <v>191200</v>
      </c>
      <c r="C47" s="628"/>
      <c r="D47" s="946">
        <v>14</v>
      </c>
      <c r="E47" s="948">
        <v>892267</v>
      </c>
      <c r="F47" s="947">
        <f t="shared" si="0"/>
        <v>0</v>
      </c>
      <c r="G47" s="628"/>
      <c r="H47" s="946">
        <v>14</v>
      </c>
      <c r="I47" s="945">
        <v>892267</v>
      </c>
      <c r="J47" s="110">
        <v>37</v>
      </c>
    </row>
    <row r="48" spans="1:10" s="245" customFormat="1" ht="11.25">
      <c r="A48" s="923" t="s">
        <v>1211</v>
      </c>
      <c r="B48" s="947">
        <v>144000</v>
      </c>
      <c r="C48" s="628"/>
      <c r="D48" s="946">
        <v>1</v>
      </c>
      <c r="E48" s="948">
        <v>96000</v>
      </c>
      <c r="F48" s="947">
        <f t="shared" si="0"/>
        <v>0</v>
      </c>
      <c r="G48" s="628"/>
      <c r="H48" s="946">
        <v>1</v>
      </c>
      <c r="I48" s="945">
        <v>96000</v>
      </c>
      <c r="J48" s="110">
        <v>38</v>
      </c>
    </row>
    <row r="49" spans="1:10" s="245" customFormat="1" ht="11.25">
      <c r="A49" s="923" t="s">
        <v>1210</v>
      </c>
      <c r="B49" s="947">
        <v>143400</v>
      </c>
      <c r="C49" s="628"/>
      <c r="D49" s="946">
        <v>1</v>
      </c>
      <c r="E49" s="948">
        <v>47800</v>
      </c>
      <c r="F49" s="947">
        <f t="shared" si="0"/>
        <v>0</v>
      </c>
      <c r="G49" s="628"/>
      <c r="H49" s="946">
        <v>1</v>
      </c>
      <c r="I49" s="945">
        <v>47800</v>
      </c>
      <c r="J49" s="110">
        <v>39</v>
      </c>
    </row>
    <row r="50" spans="1:10" s="245" customFormat="1" ht="11.25">
      <c r="A50" s="923" t="s">
        <v>1209</v>
      </c>
      <c r="B50" s="947">
        <v>71500</v>
      </c>
      <c r="C50" s="628"/>
      <c r="D50" s="946">
        <v>43</v>
      </c>
      <c r="E50" s="948">
        <v>2049667</v>
      </c>
      <c r="F50" s="947">
        <f t="shared" si="0"/>
        <v>0</v>
      </c>
      <c r="G50" s="628"/>
      <c r="H50" s="946">
        <v>43</v>
      </c>
      <c r="I50" s="945">
        <v>2049667</v>
      </c>
      <c r="J50" s="110">
        <v>40</v>
      </c>
    </row>
    <row r="51" spans="1:10" s="245" customFormat="1" ht="11.25">
      <c r="A51" s="923" t="s">
        <v>1208</v>
      </c>
      <c r="B51" s="947">
        <v>68000</v>
      </c>
      <c r="C51" s="628"/>
      <c r="D51" s="946">
        <v>63</v>
      </c>
      <c r="E51" s="948">
        <v>1428000</v>
      </c>
      <c r="F51" s="947">
        <f t="shared" si="0"/>
        <v>-90667</v>
      </c>
      <c r="G51" s="628"/>
      <c r="H51" s="946">
        <v>59</v>
      </c>
      <c r="I51" s="945">
        <v>1337333</v>
      </c>
      <c r="J51" s="110">
        <v>41</v>
      </c>
    </row>
    <row r="52" spans="1:10" s="245" customFormat="1" ht="11.25">
      <c r="A52" s="923" t="s">
        <v>1207</v>
      </c>
      <c r="B52" s="947">
        <v>51000</v>
      </c>
      <c r="C52" s="628"/>
      <c r="D52" s="946">
        <v>44</v>
      </c>
      <c r="E52" s="948">
        <v>1496000</v>
      </c>
      <c r="F52" s="947">
        <f t="shared" si="0"/>
        <v>0</v>
      </c>
      <c r="G52" s="628"/>
      <c r="H52" s="946">
        <v>44</v>
      </c>
      <c r="I52" s="945">
        <v>1496000</v>
      </c>
      <c r="J52" s="110">
        <v>42</v>
      </c>
    </row>
    <row r="53" spans="1:10" s="245" customFormat="1" ht="11.25">
      <c r="A53" s="923" t="s">
        <v>1206</v>
      </c>
      <c r="B53" s="947">
        <v>20000</v>
      </c>
      <c r="C53" s="628"/>
      <c r="D53" s="946">
        <v>85</v>
      </c>
      <c r="E53" s="948">
        <v>1133333</v>
      </c>
      <c r="F53" s="947">
        <f t="shared" si="0"/>
        <v>0</v>
      </c>
      <c r="G53" s="628"/>
      <c r="H53" s="946">
        <v>85</v>
      </c>
      <c r="I53" s="945">
        <v>1133333</v>
      </c>
      <c r="J53" s="110">
        <v>43</v>
      </c>
    </row>
    <row r="54" spans="1:10" s="245" customFormat="1" ht="11.25">
      <c r="A54" s="923" t="s">
        <v>1205</v>
      </c>
      <c r="B54" s="947">
        <v>48500</v>
      </c>
      <c r="C54" s="628"/>
      <c r="D54" s="946">
        <v>44</v>
      </c>
      <c r="E54" s="948">
        <v>711333</v>
      </c>
      <c r="F54" s="947">
        <f t="shared" si="0"/>
        <v>-64666</v>
      </c>
      <c r="G54" s="628"/>
      <c r="H54" s="946">
        <v>40</v>
      </c>
      <c r="I54" s="945">
        <v>646667</v>
      </c>
      <c r="J54" s="110">
        <v>44</v>
      </c>
    </row>
    <row r="55" spans="1:10" s="245" customFormat="1" ht="11.25">
      <c r="A55" s="923" t="s">
        <v>1204</v>
      </c>
      <c r="B55" s="947">
        <v>19000</v>
      </c>
      <c r="C55" s="628"/>
      <c r="D55" s="946">
        <v>85</v>
      </c>
      <c r="E55" s="948">
        <v>538333</v>
      </c>
      <c r="F55" s="947">
        <f t="shared" si="0"/>
        <v>158334</v>
      </c>
      <c r="G55" s="628"/>
      <c r="H55" s="946">
        <v>110</v>
      </c>
      <c r="I55" s="945">
        <v>696667</v>
      </c>
      <c r="J55" s="110">
        <v>45</v>
      </c>
    </row>
    <row r="56" spans="1:10" s="245" customFormat="1" ht="11.25">
      <c r="A56" s="923" t="s">
        <v>1203</v>
      </c>
      <c r="B56" s="947">
        <v>65000</v>
      </c>
      <c r="C56" s="628"/>
      <c r="D56" s="946">
        <v>71</v>
      </c>
      <c r="E56" s="948">
        <v>4615000</v>
      </c>
      <c r="F56" s="947">
        <f t="shared" si="0"/>
        <v>2470000</v>
      </c>
      <c r="G56" s="628"/>
      <c r="H56" s="946">
        <v>109</v>
      </c>
      <c r="I56" s="945">
        <v>7085000</v>
      </c>
      <c r="J56" s="110">
        <v>46</v>
      </c>
    </row>
    <row r="57" spans="1:10" s="245" customFormat="1" ht="11.25">
      <c r="A57" s="923" t="s">
        <v>1202</v>
      </c>
      <c r="B57" s="947">
        <v>20000</v>
      </c>
      <c r="C57" s="628"/>
      <c r="D57" s="946">
        <v>10</v>
      </c>
      <c r="E57" s="948">
        <v>200000</v>
      </c>
      <c r="F57" s="947">
        <f t="shared" si="0"/>
        <v>60000</v>
      </c>
      <c r="G57" s="628"/>
      <c r="H57" s="946">
        <v>13</v>
      </c>
      <c r="I57" s="945">
        <v>260000</v>
      </c>
      <c r="J57" s="110">
        <v>47</v>
      </c>
    </row>
    <row r="58" spans="1:10" s="245" customFormat="1" ht="11.25">
      <c r="A58" s="923" t="s">
        <v>1201</v>
      </c>
      <c r="B58" s="947">
        <v>1000</v>
      </c>
      <c r="C58" s="628"/>
      <c r="D58" s="946">
        <v>318</v>
      </c>
      <c r="E58" s="948">
        <v>318000</v>
      </c>
      <c r="F58" s="947">
        <f t="shared" si="0"/>
        <v>-13000</v>
      </c>
      <c r="G58" s="628"/>
      <c r="H58" s="946">
        <v>305</v>
      </c>
      <c r="I58" s="945">
        <v>305000</v>
      </c>
      <c r="J58" s="110">
        <v>48</v>
      </c>
    </row>
    <row r="59" spans="1:10" s="245" customFormat="1" ht="11.25">
      <c r="A59" s="923" t="s">
        <v>1200</v>
      </c>
      <c r="B59" s="947">
        <v>10000</v>
      </c>
      <c r="C59" s="628"/>
      <c r="D59" s="946">
        <v>140</v>
      </c>
      <c r="E59" s="948">
        <v>1400000</v>
      </c>
      <c r="F59" s="947">
        <f t="shared" si="0"/>
        <v>-20000</v>
      </c>
      <c r="G59" s="628"/>
      <c r="H59" s="946">
        <v>138</v>
      </c>
      <c r="I59" s="945">
        <v>1380000</v>
      </c>
      <c r="J59" s="110">
        <v>49</v>
      </c>
    </row>
    <row r="60" spans="1:10" s="245" customFormat="1" ht="11.25">
      <c r="A60" s="944"/>
      <c r="B60" s="942"/>
      <c r="C60" s="941"/>
      <c r="D60" s="940"/>
      <c r="E60" s="943"/>
      <c r="F60" s="942"/>
      <c r="G60" s="941"/>
      <c r="H60" s="940"/>
      <c r="I60" s="939"/>
      <c r="J60" s="110">
        <v>50</v>
      </c>
    </row>
    <row r="61" spans="1:10" s="245" customFormat="1" ht="11.25">
      <c r="A61" s="938" t="s">
        <v>1199</v>
      </c>
      <c r="B61" s="936">
        <v>11700</v>
      </c>
      <c r="C61" s="145"/>
      <c r="D61" s="935">
        <v>35</v>
      </c>
      <c r="E61" s="937">
        <v>273000</v>
      </c>
      <c r="F61" s="936">
        <f aca="true" t="shared" si="1" ref="F61:F66">I61-E61</f>
        <v>0</v>
      </c>
      <c r="G61" s="145"/>
      <c r="H61" s="935">
        <v>35</v>
      </c>
      <c r="I61" s="934">
        <v>273000</v>
      </c>
      <c r="J61" s="110">
        <v>51</v>
      </c>
    </row>
    <row r="62" spans="1:10" s="245" customFormat="1" ht="11.25">
      <c r="A62" s="938" t="s">
        <v>1198</v>
      </c>
      <c r="B62" s="936">
        <v>11700</v>
      </c>
      <c r="C62" s="145"/>
      <c r="D62" s="935">
        <v>37</v>
      </c>
      <c r="E62" s="937">
        <v>144300</v>
      </c>
      <c r="F62" s="936">
        <f t="shared" si="1"/>
        <v>0</v>
      </c>
      <c r="G62" s="145"/>
      <c r="H62" s="935">
        <v>37</v>
      </c>
      <c r="I62" s="934">
        <v>144300</v>
      </c>
      <c r="J62" s="110">
        <v>52</v>
      </c>
    </row>
    <row r="63" spans="1:10" s="245" customFormat="1" ht="11.25">
      <c r="A63" s="938" t="s">
        <v>1197</v>
      </c>
      <c r="B63" s="936">
        <v>1020000</v>
      </c>
      <c r="C63" s="145"/>
      <c r="D63" s="935">
        <v>1</v>
      </c>
      <c r="E63" s="937">
        <v>646667</v>
      </c>
      <c r="F63" s="936">
        <f t="shared" si="1"/>
        <v>0</v>
      </c>
      <c r="G63" s="145"/>
      <c r="H63" s="935">
        <v>1</v>
      </c>
      <c r="I63" s="934">
        <v>646667</v>
      </c>
      <c r="J63" s="110">
        <v>53</v>
      </c>
    </row>
    <row r="64" spans="1:10" s="245" customFormat="1" ht="11.25">
      <c r="A64" s="938" t="s">
        <v>1196</v>
      </c>
      <c r="B64" s="936">
        <v>970000</v>
      </c>
      <c r="C64" s="145"/>
      <c r="D64" s="935">
        <v>1</v>
      </c>
      <c r="E64" s="937">
        <v>323333</v>
      </c>
      <c r="F64" s="936">
        <f t="shared" si="1"/>
        <v>-323333</v>
      </c>
      <c r="G64" s="145"/>
      <c r="H64" s="935">
        <v>0</v>
      </c>
      <c r="I64" s="934">
        <v>0</v>
      </c>
      <c r="J64" s="110">
        <v>54</v>
      </c>
    </row>
    <row r="65" spans="1:10" s="245" customFormat="1" ht="11.25">
      <c r="A65" s="938" t="s">
        <v>1195</v>
      </c>
      <c r="B65" s="936">
        <v>430</v>
      </c>
      <c r="C65" s="145"/>
      <c r="D65" s="935">
        <v>315</v>
      </c>
      <c r="E65" s="937">
        <v>90300</v>
      </c>
      <c r="F65" s="936">
        <f t="shared" si="1"/>
        <v>-1147</v>
      </c>
      <c r="G65" s="145"/>
      <c r="H65" s="935">
        <v>311</v>
      </c>
      <c r="I65" s="934">
        <v>89153</v>
      </c>
      <c r="J65" s="110">
        <v>55</v>
      </c>
    </row>
    <row r="66" spans="1:10" s="245" customFormat="1" ht="11.25">
      <c r="A66" s="938" t="s">
        <v>1194</v>
      </c>
      <c r="B66" s="936">
        <v>430</v>
      </c>
      <c r="C66" s="145"/>
      <c r="D66" s="935">
        <v>318</v>
      </c>
      <c r="E66" s="937">
        <v>45580</v>
      </c>
      <c r="F66" s="936">
        <f t="shared" si="1"/>
        <v>-1863</v>
      </c>
      <c r="G66" s="145"/>
      <c r="H66" s="935">
        <v>305</v>
      </c>
      <c r="I66" s="934">
        <v>43717</v>
      </c>
      <c r="J66" s="110">
        <v>56</v>
      </c>
    </row>
    <row r="67" spans="1:10" s="245" customFormat="1" ht="11.25">
      <c r="A67" s="933"/>
      <c r="B67" s="931"/>
      <c r="C67" s="930"/>
      <c r="D67" s="929"/>
      <c r="E67" s="932"/>
      <c r="F67" s="931"/>
      <c r="G67" s="930"/>
      <c r="H67" s="929"/>
      <c r="I67" s="928"/>
      <c r="J67" s="110">
        <v>57</v>
      </c>
    </row>
    <row r="68" spans="1:10" s="245" customFormat="1" ht="11.25">
      <c r="A68" s="927" t="s">
        <v>472</v>
      </c>
      <c r="B68" s="919"/>
      <c r="C68" s="119"/>
      <c r="D68" s="918"/>
      <c r="E68" s="926">
        <f>SUM(E11:E67)</f>
        <v>150069034</v>
      </c>
      <c r="F68" s="922">
        <f>SUM(F11:F67)</f>
        <v>1411659</v>
      </c>
      <c r="G68" s="121"/>
      <c r="H68" s="925"/>
      <c r="I68" s="924">
        <f>SUM(I11:I67)</f>
        <v>151480693</v>
      </c>
      <c r="J68" s="110">
        <v>58</v>
      </c>
    </row>
    <row r="69" spans="1:10" s="245" customFormat="1" ht="11.25">
      <c r="A69" s="923" t="s">
        <v>1193</v>
      </c>
      <c r="B69" s="922"/>
      <c r="C69" s="119"/>
      <c r="D69" s="918"/>
      <c r="E69" s="185">
        <f>F24+F30+F32+F33+F35+F36+F51+F54+F58+F59+F64+F65+F66</f>
        <v>-1785341</v>
      </c>
      <c r="F69" s="919"/>
      <c r="G69" s="119"/>
      <c r="H69" s="918"/>
      <c r="I69" s="921"/>
      <c r="J69" s="110">
        <v>59</v>
      </c>
    </row>
    <row r="70" spans="1:10" s="245" customFormat="1" ht="13.5" thickBot="1">
      <c r="A70" s="920" t="s">
        <v>1192</v>
      </c>
      <c r="B70" s="919"/>
      <c r="C70" s="745"/>
      <c r="D70" s="918"/>
      <c r="E70" s="185">
        <f>F22+F34+F37+F41+F55+F56+F57</f>
        <v>3197000</v>
      </c>
      <c r="F70" s="919"/>
      <c r="G70" s="745"/>
      <c r="H70" s="918"/>
      <c r="I70" s="917"/>
      <c r="J70" s="110">
        <v>60</v>
      </c>
    </row>
    <row r="71" spans="1:10" s="245" customFormat="1" ht="12" thickBot="1">
      <c r="A71" s="913" t="s">
        <v>19</v>
      </c>
      <c r="B71" s="915"/>
      <c r="C71" s="914"/>
      <c r="D71" s="913"/>
      <c r="E71" s="916">
        <f>E68+E69+E70</f>
        <v>151480693</v>
      </c>
      <c r="F71" s="915"/>
      <c r="G71" s="914"/>
      <c r="H71" s="913"/>
      <c r="I71" s="912">
        <f>I68-I69+I70</f>
        <v>151480693</v>
      </c>
      <c r="J71" s="110">
        <v>61</v>
      </c>
    </row>
    <row r="72" spans="1:9" s="245" customFormat="1" ht="10.5" customHeight="1">
      <c r="A72"/>
      <c r="B72" s="911"/>
      <c r="C72"/>
      <c r="D72" s="910"/>
      <c r="E72"/>
      <c r="F72" s="910"/>
      <c r="G72"/>
      <c r="H72" s="910"/>
      <c r="I72"/>
    </row>
    <row r="73" spans="1:9" s="245" customFormat="1" ht="12.75">
      <c r="A73" s="908" t="s">
        <v>1191</v>
      </c>
      <c r="B73" s="907"/>
      <c r="C73" s="905"/>
      <c r="D73" s="904"/>
      <c r="E73" s="906">
        <f>E68-E61-E62-E63-E64-E65-E66</f>
        <v>148545854</v>
      </c>
      <c r="F73" s="904"/>
      <c r="G73" s="905"/>
      <c r="H73" s="904"/>
      <c r="I73" s="903">
        <f>I68-I61-I62-I63-I64-I65-I66</f>
        <v>150283856</v>
      </c>
    </row>
    <row r="74" spans="1:9" s="245" customFormat="1" ht="12.75">
      <c r="A74" s="902"/>
      <c r="B74" s="901"/>
      <c r="C74" s="779"/>
      <c r="D74" s="899">
        <v>31</v>
      </c>
      <c r="E74" s="900">
        <v>148545854</v>
      </c>
      <c r="F74" s="899"/>
      <c r="G74" s="779"/>
      <c r="H74" s="899"/>
      <c r="I74" s="898">
        <v>150283856</v>
      </c>
    </row>
    <row r="75" spans="1:9" s="245" customFormat="1" ht="12.75">
      <c r="A75" s="897"/>
      <c r="B75" s="896" t="s">
        <v>1189</v>
      </c>
      <c r="C75" s="893"/>
      <c r="D75" s="894"/>
      <c r="E75" s="909">
        <f>E74-E73</f>
        <v>0</v>
      </c>
      <c r="F75" s="894"/>
      <c r="G75" s="893"/>
      <c r="H75" s="894"/>
      <c r="I75" s="892">
        <f>I74-I73</f>
        <v>0</v>
      </c>
    </row>
    <row r="76" spans="1:10" ht="12.75">
      <c r="A76" s="908" t="s">
        <v>1190</v>
      </c>
      <c r="B76" s="907"/>
      <c r="C76" s="905"/>
      <c r="D76" s="904"/>
      <c r="E76" s="906">
        <f>E61+E62+E63+E64+E65+E66</f>
        <v>1523180</v>
      </c>
      <c r="F76" s="904"/>
      <c r="G76" s="905"/>
      <c r="H76" s="904"/>
      <c r="I76" s="903">
        <f>I61+I62+I63+I64+I65+I66</f>
        <v>1196837</v>
      </c>
      <c r="J76" s="245"/>
    </row>
    <row r="77" spans="1:9" ht="12.75">
      <c r="A77" s="902"/>
      <c r="B77" s="901"/>
      <c r="C77" s="779"/>
      <c r="D77" s="899">
        <v>49</v>
      </c>
      <c r="E77" s="900">
        <v>1523180</v>
      </c>
      <c r="F77" s="899"/>
      <c r="G77" s="779"/>
      <c r="H77" s="899"/>
      <c r="I77" s="898">
        <v>1196837</v>
      </c>
    </row>
    <row r="78" spans="1:9" ht="12.75">
      <c r="A78" s="897"/>
      <c r="B78" s="896" t="s">
        <v>1189</v>
      </c>
      <c r="C78" s="893"/>
      <c r="D78" s="894"/>
      <c r="E78" s="895">
        <f>E77-E76</f>
        <v>0</v>
      </c>
      <c r="F78" s="894"/>
      <c r="G78" s="893"/>
      <c r="H78" s="893"/>
      <c r="I78" s="892">
        <f>I77-I76</f>
        <v>0</v>
      </c>
    </row>
  </sheetData>
  <sheetProtection/>
  <mergeCells count="8">
    <mergeCell ref="C9:E9"/>
    <mergeCell ref="A9:A10"/>
    <mergeCell ref="A2:IV2"/>
    <mergeCell ref="A3:IV3"/>
    <mergeCell ref="A4:IV4"/>
    <mergeCell ref="A1:I1"/>
    <mergeCell ref="A5:I5"/>
    <mergeCell ref="J8:J10"/>
  </mergeCells>
  <printOptions/>
  <pageMargins left="0.2755905511811024" right="0.2755905511811024" top="0.15748031496062992" bottom="0" header="0.5118110236220472" footer="0.236220472440944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B68" sqref="B68"/>
    </sheetView>
  </sheetViews>
  <sheetFormatPr defaultColWidth="9.140625" defaultRowHeight="12.75"/>
  <cols>
    <col min="1" max="1" width="4.28125" style="0" customWidth="1"/>
    <col min="2" max="2" width="34.57421875" style="0" customWidth="1"/>
    <col min="4" max="4" width="5.7109375" style="0" customWidth="1"/>
    <col min="5" max="5" width="7.00390625" style="0" customWidth="1"/>
    <col min="6" max="6" width="13.7109375" style="0" customWidth="1"/>
    <col min="8" max="8" width="4.7109375" style="0" customWidth="1"/>
    <col min="9" max="9" width="7.57421875" style="0" customWidth="1"/>
    <col min="10" max="10" width="12.8515625" style="0" customWidth="1"/>
  </cols>
  <sheetData>
    <row r="1" ht="7.5" customHeight="1"/>
    <row r="2" spans="2:10" ht="12.75">
      <c r="B2" s="1097" t="s">
        <v>1267</v>
      </c>
      <c r="C2" s="1097"/>
      <c r="D2" s="1097"/>
      <c r="E2" s="1097"/>
      <c r="F2" s="1097"/>
      <c r="G2" s="1097"/>
      <c r="H2" s="1097"/>
      <c r="I2" s="1097"/>
      <c r="J2" s="1097"/>
    </row>
    <row r="3" spans="2:10" ht="12.75">
      <c r="B3" s="1097" t="s">
        <v>867</v>
      </c>
      <c r="C3" s="1097"/>
      <c r="D3" s="1097"/>
      <c r="E3" s="1097"/>
      <c r="F3" s="1097"/>
      <c r="G3" s="1097"/>
      <c r="H3" s="1097"/>
      <c r="I3" s="1097"/>
      <c r="J3" s="1097"/>
    </row>
    <row r="4" spans="2:10" ht="12.75">
      <c r="B4" s="1236" t="s">
        <v>1266</v>
      </c>
      <c r="C4" s="1158"/>
      <c r="D4" s="1158"/>
      <c r="E4" s="1158"/>
      <c r="F4" s="1158"/>
      <c r="G4" s="1158"/>
      <c r="H4" s="1158"/>
      <c r="I4" s="1158"/>
      <c r="J4" s="1158"/>
    </row>
    <row r="5" spans="2:10" ht="12.75">
      <c r="B5" s="1236" t="s">
        <v>1265</v>
      </c>
      <c r="C5" s="1158"/>
      <c r="D5" s="1158"/>
      <c r="E5" s="1158"/>
      <c r="F5" s="1158"/>
      <c r="G5" s="1158"/>
      <c r="H5" s="1158"/>
      <c r="I5" s="1158"/>
      <c r="J5" s="1158"/>
    </row>
    <row r="6" spans="1:6" ht="12.75">
      <c r="A6" s="155"/>
      <c r="C6" s="155"/>
      <c r="D6" s="155"/>
      <c r="F6" s="155"/>
    </row>
    <row r="7" spans="1:10" ht="12.75">
      <c r="A7" s="1174"/>
      <c r="B7" s="208" t="s">
        <v>41</v>
      </c>
      <c r="C7" s="208" t="s">
        <v>27</v>
      </c>
      <c r="D7" s="208" t="s">
        <v>28</v>
      </c>
      <c r="E7" s="208" t="s">
        <v>29</v>
      </c>
      <c r="F7" s="208" t="s">
        <v>30</v>
      </c>
      <c r="G7" s="208" t="s">
        <v>439</v>
      </c>
      <c r="H7" s="208" t="s">
        <v>438</v>
      </c>
      <c r="I7" s="208" t="s">
        <v>437</v>
      </c>
      <c r="J7" s="208" t="s">
        <v>436</v>
      </c>
    </row>
    <row r="8" spans="1:10" ht="12.75">
      <c r="A8" s="1175"/>
      <c r="B8" s="1759" t="s">
        <v>1258</v>
      </c>
      <c r="C8" s="962" t="s">
        <v>1257</v>
      </c>
      <c r="D8" s="1294" t="s">
        <v>1256</v>
      </c>
      <c r="E8" s="1295"/>
      <c r="F8" s="1254"/>
      <c r="G8" s="961" t="s">
        <v>1255</v>
      </c>
      <c r="H8" s="446"/>
      <c r="I8" s="960" t="s">
        <v>1254</v>
      </c>
      <c r="J8" s="367"/>
    </row>
    <row r="9" spans="1:10" ht="25.5" thickBot="1">
      <c r="A9" s="1176"/>
      <c r="B9" s="1774"/>
      <c r="C9" s="959" t="s">
        <v>1253</v>
      </c>
      <c r="D9" s="969" t="s">
        <v>1264</v>
      </c>
      <c r="E9" s="969" t="s">
        <v>1263</v>
      </c>
      <c r="F9" s="667" t="s">
        <v>1248</v>
      </c>
      <c r="G9" s="959" t="s">
        <v>1251</v>
      </c>
      <c r="H9" s="969" t="s">
        <v>1264</v>
      </c>
      <c r="I9" s="969" t="s">
        <v>1263</v>
      </c>
      <c r="J9" s="667" t="s">
        <v>1248</v>
      </c>
    </row>
    <row r="10" spans="1:10" ht="12.75">
      <c r="A10" s="110">
        <v>1</v>
      </c>
      <c r="B10" s="954" t="s">
        <v>1247</v>
      </c>
      <c r="C10" s="952">
        <v>1057</v>
      </c>
      <c r="D10" s="306"/>
      <c r="E10" s="950">
        <v>3768</v>
      </c>
      <c r="F10" s="953">
        <v>3982776</v>
      </c>
      <c r="G10" s="952"/>
      <c r="H10" s="951"/>
      <c r="I10" s="950">
        <v>3768</v>
      </c>
      <c r="J10" s="953">
        <v>3982776</v>
      </c>
    </row>
    <row r="11" spans="1:10" ht="12.75">
      <c r="A11" s="110">
        <v>2</v>
      </c>
      <c r="B11" s="923" t="s">
        <v>1246</v>
      </c>
      <c r="C11" s="947">
        <v>515</v>
      </c>
      <c r="D11" s="628"/>
      <c r="E11" s="946">
        <v>3768</v>
      </c>
      <c r="F11" s="948">
        <v>1940520</v>
      </c>
      <c r="G11" s="947"/>
      <c r="H11" s="628"/>
      <c r="I11" s="946">
        <v>3768</v>
      </c>
      <c r="J11" s="948">
        <v>1940520</v>
      </c>
    </row>
    <row r="12" spans="1:10" ht="12.75">
      <c r="A12" s="110">
        <v>3</v>
      </c>
      <c r="B12" s="923" t="s">
        <v>1245</v>
      </c>
      <c r="C12" s="947">
        <v>500</v>
      </c>
      <c r="D12" s="628"/>
      <c r="E12" s="946">
        <v>3768</v>
      </c>
      <c r="F12" s="948">
        <v>1884000</v>
      </c>
      <c r="G12" s="947"/>
      <c r="H12" s="628"/>
      <c r="I12" s="946">
        <v>3768</v>
      </c>
      <c r="J12" s="948">
        <v>1884000</v>
      </c>
    </row>
    <row r="13" spans="1:10" ht="12.75">
      <c r="A13" s="110">
        <v>4</v>
      </c>
      <c r="B13" s="923" t="s">
        <v>1244</v>
      </c>
      <c r="C13" s="947">
        <v>3300000</v>
      </c>
      <c r="D13" s="628"/>
      <c r="E13" s="946">
        <v>1</v>
      </c>
      <c r="F13" s="948">
        <v>3300000</v>
      </c>
      <c r="G13" s="947"/>
      <c r="H13" s="628"/>
      <c r="I13" s="946">
        <v>1</v>
      </c>
      <c r="J13" s="948">
        <v>3300000</v>
      </c>
    </row>
    <row r="14" spans="1:10" ht="12.75">
      <c r="A14" s="110">
        <v>5</v>
      </c>
      <c r="B14" s="923" t="s">
        <v>1243</v>
      </c>
      <c r="C14" s="947">
        <v>324</v>
      </c>
      <c r="D14" s="628"/>
      <c r="E14" s="946">
        <v>13939</v>
      </c>
      <c r="F14" s="948">
        <v>4516236</v>
      </c>
      <c r="G14" s="947"/>
      <c r="H14" s="628"/>
      <c r="I14" s="946">
        <v>13939</v>
      </c>
      <c r="J14" s="948">
        <v>4516236</v>
      </c>
    </row>
    <row r="15" spans="1:10" ht="12.75">
      <c r="A15" s="110">
        <v>6</v>
      </c>
      <c r="B15" s="923" t="s">
        <v>1242</v>
      </c>
      <c r="C15" s="947">
        <v>70</v>
      </c>
      <c r="D15" s="628"/>
      <c r="E15" s="946">
        <v>6187</v>
      </c>
      <c r="F15" s="948">
        <v>433090</v>
      </c>
      <c r="G15" s="947"/>
      <c r="H15" s="628"/>
      <c r="I15" s="946">
        <v>6187</v>
      </c>
      <c r="J15" s="948">
        <v>433090</v>
      </c>
    </row>
    <row r="16" spans="1:10" ht="12.75">
      <c r="A16" s="110">
        <v>7</v>
      </c>
      <c r="B16" s="923" t="s">
        <v>1241</v>
      </c>
      <c r="C16" s="947">
        <v>7737</v>
      </c>
      <c r="D16" s="628"/>
      <c r="E16" s="946">
        <v>133</v>
      </c>
      <c r="F16" s="948">
        <v>1029021</v>
      </c>
      <c r="G16" s="947"/>
      <c r="H16" s="628"/>
      <c r="I16" s="946">
        <v>133</v>
      </c>
      <c r="J16" s="948">
        <v>1029021</v>
      </c>
    </row>
    <row r="17" spans="1:10" ht="12.75">
      <c r="A17" s="110">
        <v>8</v>
      </c>
      <c r="B17" s="923" t="s">
        <v>1240</v>
      </c>
      <c r="C17" s="947">
        <v>3088</v>
      </c>
      <c r="D17" s="628"/>
      <c r="E17" s="946">
        <v>81</v>
      </c>
      <c r="F17" s="948">
        <v>250128</v>
      </c>
      <c r="G17" s="947"/>
      <c r="H17" s="628"/>
      <c r="I17" s="946">
        <v>81</v>
      </c>
      <c r="J17" s="948">
        <v>250128</v>
      </c>
    </row>
    <row r="18" spans="1:10" ht="12.75">
      <c r="A18" s="110">
        <v>9</v>
      </c>
      <c r="B18" s="923" t="s">
        <v>1239</v>
      </c>
      <c r="C18" s="947">
        <v>1061</v>
      </c>
      <c r="D18" s="628"/>
      <c r="E18" s="946">
        <v>3768</v>
      </c>
      <c r="F18" s="948">
        <v>3997848</v>
      </c>
      <c r="G18" s="947"/>
      <c r="H18" s="628"/>
      <c r="I18" s="946">
        <v>3768</v>
      </c>
      <c r="J18" s="948">
        <v>3997848</v>
      </c>
    </row>
    <row r="19" spans="1:10" ht="12.75">
      <c r="A19" s="110">
        <v>10</v>
      </c>
      <c r="B19" s="923" t="s">
        <v>1238</v>
      </c>
      <c r="C19" s="947">
        <v>0</v>
      </c>
      <c r="D19" s="628"/>
      <c r="E19" s="946">
        <v>3768</v>
      </c>
      <c r="F19" s="948">
        <v>18655368</v>
      </c>
      <c r="G19" s="947"/>
      <c r="H19" s="628"/>
      <c r="I19" s="946">
        <v>3768</v>
      </c>
      <c r="J19" s="948">
        <v>18655368</v>
      </c>
    </row>
    <row r="20" spans="1:10" ht="12.75">
      <c r="A20" s="110">
        <v>11</v>
      </c>
      <c r="B20" s="923" t="s">
        <v>1237</v>
      </c>
      <c r="C20" s="947">
        <v>2550000</v>
      </c>
      <c r="D20" s="628">
        <v>6.2</v>
      </c>
      <c r="E20" s="946"/>
      <c r="F20" s="948">
        <v>10540000</v>
      </c>
      <c r="G20" s="947">
        <f aca="true" t="shared" si="0" ref="G20:G63">J20-F20</f>
        <v>170000</v>
      </c>
      <c r="H20" s="628">
        <v>6.3</v>
      </c>
      <c r="I20" s="946"/>
      <c r="J20" s="948">
        <v>10710000</v>
      </c>
    </row>
    <row r="21" spans="1:10" ht="12.75">
      <c r="A21" s="110">
        <v>12</v>
      </c>
      <c r="B21" s="923" t="s">
        <v>1236</v>
      </c>
      <c r="C21" s="947">
        <v>2550000</v>
      </c>
      <c r="D21" s="628">
        <v>5.1</v>
      </c>
      <c r="E21" s="946"/>
      <c r="F21" s="948">
        <v>8670000</v>
      </c>
      <c r="G21" s="947">
        <f t="shared" si="0"/>
        <v>0</v>
      </c>
      <c r="H21" s="628">
        <v>5.1</v>
      </c>
      <c r="I21" s="946"/>
      <c r="J21" s="948">
        <v>8670000</v>
      </c>
    </row>
    <row r="22" spans="1:10" ht="12.75">
      <c r="A22" s="110">
        <v>13</v>
      </c>
      <c r="B22" s="923" t="s">
        <v>1235</v>
      </c>
      <c r="C22" s="947">
        <v>2540000</v>
      </c>
      <c r="D22" s="628">
        <v>10.7</v>
      </c>
      <c r="E22" s="946"/>
      <c r="F22" s="948">
        <v>9059333</v>
      </c>
      <c r="G22" s="947">
        <f t="shared" si="0"/>
        <v>-84666</v>
      </c>
      <c r="H22" s="628">
        <v>10.6</v>
      </c>
      <c r="I22" s="946"/>
      <c r="J22" s="948">
        <v>8974667</v>
      </c>
    </row>
    <row r="23" spans="1:10" ht="12.75">
      <c r="A23" s="110">
        <v>14</v>
      </c>
      <c r="B23" s="923" t="s">
        <v>1234</v>
      </c>
      <c r="C23" s="947">
        <v>2550000</v>
      </c>
      <c r="D23" s="628">
        <v>4.9</v>
      </c>
      <c r="E23" s="946"/>
      <c r="F23" s="948">
        <v>8330000</v>
      </c>
      <c r="G23" s="947">
        <f t="shared" si="0"/>
        <v>0</v>
      </c>
      <c r="H23" s="628">
        <v>4.9</v>
      </c>
      <c r="I23" s="946"/>
      <c r="J23" s="948">
        <v>8330000</v>
      </c>
    </row>
    <row r="24" spans="1:10" ht="12.75">
      <c r="A24" s="110">
        <v>15</v>
      </c>
      <c r="B24" s="923" t="s">
        <v>1233</v>
      </c>
      <c r="C24" s="947">
        <v>2550000</v>
      </c>
      <c r="D24" s="628">
        <v>2.7</v>
      </c>
      <c r="E24" s="946"/>
      <c r="F24" s="948">
        <v>4590000</v>
      </c>
      <c r="G24" s="947">
        <f t="shared" si="0"/>
        <v>0</v>
      </c>
      <c r="H24" s="628">
        <v>2.7</v>
      </c>
      <c r="I24" s="946"/>
      <c r="J24" s="948">
        <v>4590000</v>
      </c>
    </row>
    <row r="25" spans="1:10" ht="12.75">
      <c r="A25" s="110">
        <v>16</v>
      </c>
      <c r="B25" s="923" t="s">
        <v>1232</v>
      </c>
      <c r="C25" s="947">
        <v>2550000</v>
      </c>
      <c r="D25" s="628">
        <v>4.3</v>
      </c>
      <c r="E25" s="946"/>
      <c r="F25" s="948">
        <v>7310000</v>
      </c>
      <c r="G25" s="947">
        <f t="shared" si="0"/>
        <v>0</v>
      </c>
      <c r="H25" s="628">
        <v>4.3</v>
      </c>
      <c r="I25" s="946"/>
      <c r="J25" s="948">
        <v>7310000</v>
      </c>
    </row>
    <row r="26" spans="1:10" ht="12.75">
      <c r="A26" s="110">
        <v>17</v>
      </c>
      <c r="B26" s="923" t="s">
        <v>1231</v>
      </c>
      <c r="C26" s="947">
        <v>2550000</v>
      </c>
      <c r="D26" s="628">
        <v>4.2</v>
      </c>
      <c r="E26" s="946"/>
      <c r="F26" s="948">
        <v>7140000</v>
      </c>
      <c r="G26" s="947">
        <f t="shared" si="0"/>
        <v>0</v>
      </c>
      <c r="H26" s="628">
        <v>4.2</v>
      </c>
      <c r="I26" s="946"/>
      <c r="J26" s="948">
        <v>7140000</v>
      </c>
    </row>
    <row r="27" spans="1:10" ht="12.75">
      <c r="A27" s="110">
        <v>18</v>
      </c>
      <c r="B27" s="923" t="s">
        <v>1230</v>
      </c>
      <c r="C27" s="947">
        <v>2550000</v>
      </c>
      <c r="D27" s="628">
        <v>7</v>
      </c>
      <c r="E27" s="946"/>
      <c r="F27" s="948">
        <v>11900000</v>
      </c>
      <c r="G27" s="947">
        <f t="shared" si="0"/>
        <v>0</v>
      </c>
      <c r="H27" s="628">
        <v>7</v>
      </c>
      <c r="I27" s="946"/>
      <c r="J27" s="948">
        <v>11900000</v>
      </c>
    </row>
    <row r="28" spans="1:11" ht="12.75">
      <c r="A28" s="110">
        <v>19</v>
      </c>
      <c r="B28" s="923" t="s">
        <v>1229</v>
      </c>
      <c r="C28" s="947">
        <v>2540000</v>
      </c>
      <c r="D28" s="97">
        <v>4.9</v>
      </c>
      <c r="E28" s="966"/>
      <c r="F28" s="945">
        <v>4148667</v>
      </c>
      <c r="G28" s="965">
        <f t="shared" si="0"/>
        <v>-254000</v>
      </c>
      <c r="H28" s="628">
        <v>4.6</v>
      </c>
      <c r="I28" s="968"/>
      <c r="J28" s="948">
        <v>3894667</v>
      </c>
      <c r="K28" s="967"/>
    </row>
    <row r="29" spans="1:10" ht="12.75">
      <c r="A29" s="110">
        <v>20</v>
      </c>
      <c r="B29" s="838" t="s">
        <v>1228</v>
      </c>
      <c r="C29" s="947">
        <v>2540000</v>
      </c>
      <c r="D29" s="628">
        <v>2.3</v>
      </c>
      <c r="E29" s="966"/>
      <c r="F29" s="945">
        <v>1947333</v>
      </c>
      <c r="G29" s="965">
        <f t="shared" si="0"/>
        <v>0</v>
      </c>
      <c r="H29" s="628">
        <v>2.3</v>
      </c>
      <c r="I29" s="946"/>
      <c r="J29" s="948">
        <v>1947333</v>
      </c>
    </row>
    <row r="30" spans="1:10" ht="12.75">
      <c r="A30" s="110">
        <v>21</v>
      </c>
      <c r="B30" s="954" t="s">
        <v>1227</v>
      </c>
      <c r="C30" s="952">
        <v>2540000</v>
      </c>
      <c r="D30" s="951">
        <v>3.3</v>
      </c>
      <c r="E30" s="950"/>
      <c r="F30" s="953">
        <v>2794000</v>
      </c>
      <c r="G30" s="952">
        <f t="shared" si="0"/>
        <v>-169333</v>
      </c>
      <c r="H30" s="951">
        <v>3.1</v>
      </c>
      <c r="I30" s="950"/>
      <c r="J30" s="953">
        <v>2624667</v>
      </c>
    </row>
    <row r="31" spans="1:10" ht="12.75">
      <c r="A31" s="110">
        <v>22</v>
      </c>
      <c r="B31" s="923" t="s">
        <v>1226</v>
      </c>
      <c r="C31" s="947">
        <v>2540000</v>
      </c>
      <c r="D31" s="628">
        <v>5.7</v>
      </c>
      <c r="E31" s="946"/>
      <c r="F31" s="948">
        <v>4826000</v>
      </c>
      <c r="G31" s="947">
        <f t="shared" si="0"/>
        <v>-169333</v>
      </c>
      <c r="H31" s="628">
        <v>5.5</v>
      </c>
      <c r="I31" s="946"/>
      <c r="J31" s="948">
        <v>4656667</v>
      </c>
    </row>
    <row r="32" spans="1:10" ht="12.75">
      <c r="A32" s="110">
        <v>23</v>
      </c>
      <c r="B32" s="923" t="s">
        <v>1225</v>
      </c>
      <c r="C32" s="947">
        <v>2540000</v>
      </c>
      <c r="D32" s="628">
        <v>2.1</v>
      </c>
      <c r="E32" s="946"/>
      <c r="F32" s="948">
        <v>1778000</v>
      </c>
      <c r="G32" s="947">
        <f t="shared" si="0"/>
        <v>84667</v>
      </c>
      <c r="H32" s="628">
        <v>2.2</v>
      </c>
      <c r="I32" s="946"/>
      <c r="J32" s="948">
        <v>1862667</v>
      </c>
    </row>
    <row r="33" spans="1:10" ht="12.75">
      <c r="A33" s="110">
        <v>24</v>
      </c>
      <c r="B33" s="923" t="s">
        <v>1224</v>
      </c>
      <c r="C33" s="947">
        <v>2540000</v>
      </c>
      <c r="D33" s="628">
        <v>3.8</v>
      </c>
      <c r="E33" s="946"/>
      <c r="F33" s="948">
        <v>3217333</v>
      </c>
      <c r="G33" s="947">
        <f t="shared" si="0"/>
        <v>-423333</v>
      </c>
      <c r="H33" s="628">
        <v>3.3</v>
      </c>
      <c r="I33" s="946"/>
      <c r="J33" s="948">
        <v>2794000</v>
      </c>
    </row>
    <row r="34" spans="1:10" ht="12.75">
      <c r="A34" s="110">
        <v>25</v>
      </c>
      <c r="B34" s="964" t="s">
        <v>1223</v>
      </c>
      <c r="C34" s="947">
        <v>2550000</v>
      </c>
      <c r="D34" s="628">
        <v>0.4</v>
      </c>
      <c r="E34" s="946">
        <v>38</v>
      </c>
      <c r="F34" s="948">
        <v>680000</v>
      </c>
      <c r="G34" s="947">
        <f t="shared" si="0"/>
        <v>-170000</v>
      </c>
      <c r="H34" s="628">
        <v>0.3</v>
      </c>
      <c r="I34" s="946">
        <v>31</v>
      </c>
      <c r="J34" s="948">
        <v>510000</v>
      </c>
    </row>
    <row r="35" spans="1:10" ht="12.75">
      <c r="A35" s="110">
        <v>26</v>
      </c>
      <c r="B35" s="964" t="s">
        <v>1222</v>
      </c>
      <c r="C35" s="947">
        <v>2540000</v>
      </c>
      <c r="D35" s="628">
        <v>0.4</v>
      </c>
      <c r="E35" s="946">
        <v>40</v>
      </c>
      <c r="F35" s="948">
        <v>338667</v>
      </c>
      <c r="G35" s="947">
        <f t="shared" si="0"/>
        <v>84666</v>
      </c>
      <c r="H35" s="628">
        <v>0.5</v>
      </c>
      <c r="I35" s="946">
        <v>47</v>
      </c>
      <c r="J35" s="948">
        <v>423333</v>
      </c>
    </row>
    <row r="36" spans="1:10" ht="12.75">
      <c r="A36" s="110">
        <v>27</v>
      </c>
      <c r="B36" s="923" t="s">
        <v>1221</v>
      </c>
      <c r="C36" s="947">
        <v>2550000</v>
      </c>
      <c r="D36" s="628">
        <v>0.9</v>
      </c>
      <c r="E36" s="946">
        <v>44</v>
      </c>
      <c r="F36" s="948">
        <v>1530000</v>
      </c>
      <c r="G36" s="947">
        <f t="shared" si="0"/>
        <v>0</v>
      </c>
      <c r="H36" s="628">
        <v>0.9</v>
      </c>
      <c r="I36" s="946">
        <v>44</v>
      </c>
      <c r="J36" s="948">
        <v>1530000</v>
      </c>
    </row>
    <row r="37" spans="1:10" ht="12.75">
      <c r="A37" s="110">
        <v>28</v>
      </c>
      <c r="B37" s="923" t="s">
        <v>1220</v>
      </c>
      <c r="C37" s="947">
        <v>2550000</v>
      </c>
      <c r="D37" s="628">
        <v>0.7</v>
      </c>
      <c r="E37" s="946">
        <v>85</v>
      </c>
      <c r="F37" s="948">
        <v>1190000</v>
      </c>
      <c r="G37" s="947">
        <f t="shared" si="0"/>
        <v>0</v>
      </c>
      <c r="H37" s="628">
        <v>0.7</v>
      </c>
      <c r="I37" s="946">
        <v>85</v>
      </c>
      <c r="J37" s="948">
        <v>1190000</v>
      </c>
    </row>
    <row r="38" spans="1:10" ht="12.75">
      <c r="A38" s="110">
        <v>29</v>
      </c>
      <c r="B38" s="923" t="s">
        <v>1219</v>
      </c>
      <c r="C38" s="947">
        <v>2540000</v>
      </c>
      <c r="D38" s="628">
        <v>0.9</v>
      </c>
      <c r="E38" s="946">
        <v>44</v>
      </c>
      <c r="F38" s="948">
        <v>762000</v>
      </c>
      <c r="G38" s="947">
        <f t="shared" si="0"/>
        <v>0</v>
      </c>
      <c r="H38" s="628">
        <v>0.9</v>
      </c>
      <c r="I38" s="946">
        <v>40</v>
      </c>
      <c r="J38" s="948">
        <v>762000</v>
      </c>
    </row>
    <row r="39" spans="1:10" ht="12.75">
      <c r="A39" s="110">
        <v>30</v>
      </c>
      <c r="B39" s="923" t="s">
        <v>1218</v>
      </c>
      <c r="C39" s="947">
        <v>2540000</v>
      </c>
      <c r="D39" s="628">
        <v>0.7</v>
      </c>
      <c r="E39" s="946">
        <v>85</v>
      </c>
      <c r="F39" s="948">
        <v>592667</v>
      </c>
      <c r="G39" s="947">
        <f t="shared" si="0"/>
        <v>169333</v>
      </c>
      <c r="H39" s="628">
        <v>0.9</v>
      </c>
      <c r="I39" s="946">
        <v>110</v>
      </c>
      <c r="J39" s="948">
        <v>762000</v>
      </c>
    </row>
    <row r="40" spans="1:10" ht="12.75">
      <c r="A40" s="110">
        <v>31</v>
      </c>
      <c r="B40" s="923" t="s">
        <v>1217</v>
      </c>
      <c r="C40" s="947">
        <v>240000</v>
      </c>
      <c r="D40" s="628"/>
      <c r="E40" s="946">
        <v>1</v>
      </c>
      <c r="F40" s="948">
        <v>160000</v>
      </c>
      <c r="G40" s="947">
        <f t="shared" si="0"/>
        <v>0</v>
      </c>
      <c r="H40" s="628"/>
      <c r="I40" s="946">
        <v>1</v>
      </c>
      <c r="J40" s="948">
        <v>160000</v>
      </c>
    </row>
    <row r="41" spans="1:10" ht="12.75">
      <c r="A41" s="110">
        <v>32</v>
      </c>
      <c r="B41" s="923" t="s">
        <v>1216</v>
      </c>
      <c r="C41" s="947">
        <v>239000</v>
      </c>
      <c r="D41" s="628"/>
      <c r="E41" s="946">
        <v>1</v>
      </c>
      <c r="F41" s="948">
        <v>79667</v>
      </c>
      <c r="G41" s="947">
        <f t="shared" si="0"/>
        <v>0</v>
      </c>
      <c r="H41" s="628"/>
      <c r="I41" s="946">
        <v>1</v>
      </c>
      <c r="J41" s="948">
        <v>79667</v>
      </c>
    </row>
    <row r="42" spans="1:10" ht="12.75">
      <c r="A42" s="110">
        <v>33</v>
      </c>
      <c r="B42" s="923" t="s">
        <v>1215</v>
      </c>
      <c r="C42" s="947">
        <v>384000</v>
      </c>
      <c r="D42" s="628"/>
      <c r="E42" s="946">
        <v>1</v>
      </c>
      <c r="F42" s="948">
        <v>256000</v>
      </c>
      <c r="G42" s="947">
        <f t="shared" si="0"/>
        <v>0</v>
      </c>
      <c r="H42" s="628"/>
      <c r="I42" s="946">
        <v>1</v>
      </c>
      <c r="J42" s="948">
        <v>256000</v>
      </c>
    </row>
    <row r="43" spans="1:10" ht="12.75">
      <c r="A43" s="110">
        <v>34</v>
      </c>
      <c r="B43" s="923" t="s">
        <v>1214</v>
      </c>
      <c r="C43" s="947">
        <v>384000</v>
      </c>
      <c r="D43" s="628"/>
      <c r="E43" s="946">
        <v>1</v>
      </c>
      <c r="F43" s="948">
        <v>127467</v>
      </c>
      <c r="G43" s="947">
        <f t="shared" si="0"/>
        <v>0</v>
      </c>
      <c r="H43" s="628"/>
      <c r="I43" s="946">
        <v>1</v>
      </c>
      <c r="J43" s="948">
        <v>127467</v>
      </c>
    </row>
    <row r="44" spans="1:10" ht="12.75">
      <c r="A44" s="110">
        <v>35</v>
      </c>
      <c r="B44" s="923" t="s">
        <v>1213</v>
      </c>
      <c r="C44" s="947">
        <v>192000</v>
      </c>
      <c r="D44" s="628"/>
      <c r="E44" s="946">
        <v>13</v>
      </c>
      <c r="F44" s="948">
        <v>1664000</v>
      </c>
      <c r="G44" s="947">
        <f t="shared" si="0"/>
        <v>0</v>
      </c>
      <c r="H44" s="628"/>
      <c r="I44" s="946">
        <v>13</v>
      </c>
      <c r="J44" s="948">
        <v>1664000</v>
      </c>
    </row>
    <row r="45" spans="1:10" ht="12.75">
      <c r="A45" s="110">
        <v>36</v>
      </c>
      <c r="B45" s="923" t="s">
        <v>1212</v>
      </c>
      <c r="C45" s="947">
        <v>191200</v>
      </c>
      <c r="D45" s="628"/>
      <c r="E45" s="946">
        <v>14</v>
      </c>
      <c r="F45" s="948">
        <v>892267</v>
      </c>
      <c r="G45" s="947">
        <f t="shared" si="0"/>
        <v>0</v>
      </c>
      <c r="H45" s="628"/>
      <c r="I45" s="946">
        <v>14</v>
      </c>
      <c r="J45" s="948">
        <v>892267</v>
      </c>
    </row>
    <row r="46" spans="1:10" ht="12.75">
      <c r="A46" s="110">
        <v>37</v>
      </c>
      <c r="B46" s="923" t="s">
        <v>1211</v>
      </c>
      <c r="C46" s="947">
        <v>144000</v>
      </c>
      <c r="D46" s="628"/>
      <c r="E46" s="946">
        <v>1</v>
      </c>
      <c r="F46" s="948">
        <v>96000</v>
      </c>
      <c r="G46" s="947">
        <f t="shared" si="0"/>
        <v>0</v>
      </c>
      <c r="H46" s="628"/>
      <c r="I46" s="946">
        <v>1</v>
      </c>
      <c r="J46" s="948">
        <v>96000</v>
      </c>
    </row>
    <row r="47" spans="1:10" ht="12.75">
      <c r="A47" s="110">
        <v>38</v>
      </c>
      <c r="B47" s="923" t="s">
        <v>1210</v>
      </c>
      <c r="C47" s="947">
        <v>143400</v>
      </c>
      <c r="D47" s="628"/>
      <c r="E47" s="946">
        <v>1</v>
      </c>
      <c r="F47" s="948">
        <v>47800</v>
      </c>
      <c r="G47" s="947">
        <f t="shared" si="0"/>
        <v>0</v>
      </c>
      <c r="H47" s="628"/>
      <c r="I47" s="946">
        <v>1</v>
      </c>
      <c r="J47" s="948">
        <v>47800</v>
      </c>
    </row>
    <row r="48" spans="1:10" ht="12.75">
      <c r="A48" s="110">
        <v>39</v>
      </c>
      <c r="B48" s="923" t="s">
        <v>1209</v>
      </c>
      <c r="C48" s="947">
        <v>71500</v>
      </c>
      <c r="D48" s="628"/>
      <c r="E48" s="946">
        <v>43</v>
      </c>
      <c r="F48" s="948">
        <v>2049667</v>
      </c>
      <c r="G48" s="947">
        <f t="shared" si="0"/>
        <v>0</v>
      </c>
      <c r="H48" s="628"/>
      <c r="I48" s="946">
        <v>43</v>
      </c>
      <c r="J48" s="948">
        <v>2049667</v>
      </c>
    </row>
    <row r="49" spans="1:10" ht="12.75">
      <c r="A49" s="110">
        <v>40</v>
      </c>
      <c r="B49" s="923" t="s">
        <v>1208</v>
      </c>
      <c r="C49" s="947">
        <v>68000</v>
      </c>
      <c r="D49" s="628"/>
      <c r="E49" s="946">
        <v>63</v>
      </c>
      <c r="F49" s="948">
        <v>1428000</v>
      </c>
      <c r="G49" s="947">
        <f t="shared" si="0"/>
        <v>-90667</v>
      </c>
      <c r="H49" s="628"/>
      <c r="I49" s="946">
        <v>59</v>
      </c>
      <c r="J49" s="948">
        <v>1337333</v>
      </c>
    </row>
    <row r="50" spans="1:10" ht="12.75">
      <c r="A50" s="110">
        <v>41</v>
      </c>
      <c r="B50" s="923" t="s">
        <v>1207</v>
      </c>
      <c r="C50" s="947">
        <v>51000</v>
      </c>
      <c r="D50" s="628"/>
      <c r="E50" s="946">
        <v>44</v>
      </c>
      <c r="F50" s="948">
        <v>1496000</v>
      </c>
      <c r="G50" s="947">
        <f t="shared" si="0"/>
        <v>0</v>
      </c>
      <c r="H50" s="628"/>
      <c r="I50" s="946">
        <v>44</v>
      </c>
      <c r="J50" s="948">
        <v>1496000</v>
      </c>
    </row>
    <row r="51" spans="1:10" ht="12.75">
      <c r="A51" s="110">
        <v>42</v>
      </c>
      <c r="B51" s="923" t="s">
        <v>1206</v>
      </c>
      <c r="C51" s="947">
        <v>20000</v>
      </c>
      <c r="D51" s="628"/>
      <c r="E51" s="946">
        <v>85</v>
      </c>
      <c r="F51" s="948">
        <v>1133333</v>
      </c>
      <c r="G51" s="947">
        <f t="shared" si="0"/>
        <v>0</v>
      </c>
      <c r="H51" s="628"/>
      <c r="I51" s="946">
        <v>85</v>
      </c>
      <c r="J51" s="948">
        <v>1133333</v>
      </c>
    </row>
    <row r="52" spans="1:10" ht="12.75">
      <c r="A52" s="110">
        <v>43</v>
      </c>
      <c r="B52" s="923" t="s">
        <v>1205</v>
      </c>
      <c r="C52" s="947">
        <v>48500</v>
      </c>
      <c r="D52" s="628"/>
      <c r="E52" s="946">
        <v>44</v>
      </c>
      <c r="F52" s="948">
        <v>711333</v>
      </c>
      <c r="G52" s="947">
        <f t="shared" si="0"/>
        <v>-64666</v>
      </c>
      <c r="H52" s="628"/>
      <c r="I52" s="946">
        <v>40</v>
      </c>
      <c r="J52" s="948">
        <v>646667</v>
      </c>
    </row>
    <row r="53" spans="1:10" ht="12.75">
      <c r="A53" s="110">
        <v>44</v>
      </c>
      <c r="B53" s="923" t="s">
        <v>1204</v>
      </c>
      <c r="C53" s="947">
        <v>19000</v>
      </c>
      <c r="D53" s="628"/>
      <c r="E53" s="946">
        <v>85</v>
      </c>
      <c r="F53" s="948">
        <v>538333</v>
      </c>
      <c r="G53" s="947">
        <f t="shared" si="0"/>
        <v>158334</v>
      </c>
      <c r="H53" s="628"/>
      <c r="I53" s="946">
        <v>110</v>
      </c>
      <c r="J53" s="948">
        <v>696667</v>
      </c>
    </row>
    <row r="54" spans="1:10" ht="12.75">
      <c r="A54" s="110">
        <v>45</v>
      </c>
      <c r="B54" s="923" t="s">
        <v>1203</v>
      </c>
      <c r="C54" s="947">
        <v>65000</v>
      </c>
      <c r="D54" s="628"/>
      <c r="E54" s="946">
        <v>71</v>
      </c>
      <c r="F54" s="948">
        <v>4615000</v>
      </c>
      <c r="G54" s="947">
        <f t="shared" si="0"/>
        <v>2470000</v>
      </c>
      <c r="H54" s="628"/>
      <c r="I54" s="946">
        <v>109</v>
      </c>
      <c r="J54" s="948">
        <v>7085000</v>
      </c>
    </row>
    <row r="55" spans="1:10" ht="12.75">
      <c r="A55" s="110">
        <v>46</v>
      </c>
      <c r="B55" s="923" t="s">
        <v>1202</v>
      </c>
      <c r="C55" s="947">
        <v>20000</v>
      </c>
      <c r="D55" s="628"/>
      <c r="E55" s="946">
        <v>10</v>
      </c>
      <c r="F55" s="948">
        <v>200000</v>
      </c>
      <c r="G55" s="947">
        <f t="shared" si="0"/>
        <v>60000</v>
      </c>
      <c r="H55" s="628"/>
      <c r="I55" s="946">
        <v>13</v>
      </c>
      <c r="J55" s="948">
        <v>260000</v>
      </c>
    </row>
    <row r="56" spans="1:10" ht="12.75">
      <c r="A56" s="110">
        <v>47</v>
      </c>
      <c r="B56" s="923" t="s">
        <v>1201</v>
      </c>
      <c r="C56" s="947">
        <v>1000</v>
      </c>
      <c r="D56" s="628"/>
      <c r="E56" s="946">
        <v>318</v>
      </c>
      <c r="F56" s="948">
        <v>318000</v>
      </c>
      <c r="G56" s="947">
        <f t="shared" si="0"/>
        <v>-13000</v>
      </c>
      <c r="H56" s="628"/>
      <c r="I56" s="946">
        <v>305</v>
      </c>
      <c r="J56" s="948">
        <v>305000</v>
      </c>
    </row>
    <row r="57" spans="1:10" ht="12.75">
      <c r="A57" s="110">
        <v>48</v>
      </c>
      <c r="B57" s="923" t="s">
        <v>1200</v>
      </c>
      <c r="C57" s="947">
        <v>10000</v>
      </c>
      <c r="D57" s="628"/>
      <c r="E57" s="946">
        <v>140</v>
      </c>
      <c r="F57" s="948">
        <v>1400000</v>
      </c>
      <c r="G57" s="947">
        <f t="shared" si="0"/>
        <v>-20000</v>
      </c>
      <c r="H57" s="628"/>
      <c r="I57" s="946">
        <v>138</v>
      </c>
      <c r="J57" s="948">
        <v>1380000</v>
      </c>
    </row>
    <row r="58" spans="1:10" ht="12.75">
      <c r="A58" s="110">
        <v>49</v>
      </c>
      <c r="B58" s="938" t="s">
        <v>1199</v>
      </c>
      <c r="C58" s="936">
        <v>11700</v>
      </c>
      <c r="D58" s="145"/>
      <c r="E58" s="935">
        <v>35</v>
      </c>
      <c r="F58" s="937">
        <v>273000</v>
      </c>
      <c r="G58" s="936">
        <f t="shared" si="0"/>
        <v>0</v>
      </c>
      <c r="H58" s="145"/>
      <c r="I58" s="935">
        <v>35</v>
      </c>
      <c r="J58" s="937">
        <v>273000</v>
      </c>
    </row>
    <row r="59" spans="1:10" ht="12.75">
      <c r="A59" s="110">
        <v>50</v>
      </c>
      <c r="B59" s="938" t="s">
        <v>1198</v>
      </c>
      <c r="C59" s="936">
        <v>11700</v>
      </c>
      <c r="D59" s="145"/>
      <c r="E59" s="935">
        <v>37</v>
      </c>
      <c r="F59" s="937">
        <v>144300</v>
      </c>
      <c r="G59" s="936">
        <f t="shared" si="0"/>
        <v>0</v>
      </c>
      <c r="H59" s="145"/>
      <c r="I59" s="935">
        <v>37</v>
      </c>
      <c r="J59" s="937">
        <v>144300</v>
      </c>
    </row>
    <row r="60" spans="1:10" ht="12.75">
      <c r="A60" s="110">
        <v>51</v>
      </c>
      <c r="B60" s="938" t="s">
        <v>1197</v>
      </c>
      <c r="C60" s="936">
        <v>1020000</v>
      </c>
      <c r="D60" s="145"/>
      <c r="E60" s="935">
        <v>1</v>
      </c>
      <c r="F60" s="937">
        <v>646667</v>
      </c>
      <c r="G60" s="936">
        <f t="shared" si="0"/>
        <v>0</v>
      </c>
      <c r="H60" s="145"/>
      <c r="I60" s="935">
        <v>1</v>
      </c>
      <c r="J60" s="937">
        <v>646667</v>
      </c>
    </row>
    <row r="61" spans="1:10" ht="12.75">
      <c r="A61" s="110">
        <v>52</v>
      </c>
      <c r="B61" s="938" t="s">
        <v>1196</v>
      </c>
      <c r="C61" s="936">
        <v>970000</v>
      </c>
      <c r="D61" s="145"/>
      <c r="E61" s="935">
        <v>1</v>
      </c>
      <c r="F61" s="937">
        <v>323333</v>
      </c>
      <c r="G61" s="936">
        <f t="shared" si="0"/>
        <v>-323333</v>
      </c>
      <c r="H61" s="145"/>
      <c r="I61" s="935">
        <v>0</v>
      </c>
      <c r="J61" s="937">
        <v>0</v>
      </c>
    </row>
    <row r="62" spans="1:10" ht="12.75">
      <c r="A62" s="110">
        <v>53</v>
      </c>
      <c r="B62" s="938" t="s">
        <v>1195</v>
      </c>
      <c r="C62" s="936">
        <v>430</v>
      </c>
      <c r="D62" s="145"/>
      <c r="E62" s="935">
        <v>315</v>
      </c>
      <c r="F62" s="937">
        <v>90300</v>
      </c>
      <c r="G62" s="936">
        <f t="shared" si="0"/>
        <v>-1147</v>
      </c>
      <c r="H62" s="145"/>
      <c r="I62" s="935">
        <v>311</v>
      </c>
      <c r="J62" s="937">
        <v>89153</v>
      </c>
    </row>
    <row r="63" spans="1:10" ht="12.75">
      <c r="A63" s="110">
        <v>54</v>
      </c>
      <c r="B63" s="938" t="s">
        <v>1194</v>
      </c>
      <c r="C63" s="936">
        <v>430</v>
      </c>
      <c r="D63" s="145"/>
      <c r="E63" s="935">
        <v>318</v>
      </c>
      <c r="F63" s="937">
        <v>45580</v>
      </c>
      <c r="G63" s="936">
        <f t="shared" si="0"/>
        <v>-1863</v>
      </c>
      <c r="H63" s="145"/>
      <c r="I63" s="935">
        <v>305</v>
      </c>
      <c r="J63" s="937">
        <v>43717</v>
      </c>
    </row>
    <row r="64" spans="1:10" ht="12.75">
      <c r="A64" s="110">
        <v>55</v>
      </c>
      <c r="B64" s="927" t="s">
        <v>472</v>
      </c>
      <c r="C64" s="919"/>
      <c r="D64" s="119"/>
      <c r="E64" s="918"/>
      <c r="F64" s="926">
        <f>SUM(F10:F63)</f>
        <v>150069034</v>
      </c>
      <c r="G64" s="922">
        <f>SUM(G10:G63)</f>
        <v>1411659</v>
      </c>
      <c r="H64" s="121"/>
      <c r="I64" s="925"/>
      <c r="J64" s="926">
        <f>SUM(J10:J63)</f>
        <v>151480693</v>
      </c>
    </row>
    <row r="65" spans="1:10" ht="12.75">
      <c r="A65" s="110">
        <v>56</v>
      </c>
      <c r="B65" s="923" t="s">
        <v>1193</v>
      </c>
      <c r="C65" s="922"/>
      <c r="D65" s="119"/>
      <c r="E65" s="918"/>
      <c r="F65" s="185">
        <f>G22+G28+G30+G31+G33+G34+G49+G52+G56+G57+G61+G62+G63</f>
        <v>-1785341</v>
      </c>
      <c r="G65" s="919"/>
      <c r="H65" s="119"/>
      <c r="I65" s="918"/>
      <c r="J65" s="185"/>
    </row>
    <row r="66" spans="1:10" ht="13.5" thickBot="1">
      <c r="A66" s="110">
        <v>57</v>
      </c>
      <c r="B66" s="920" t="s">
        <v>1192</v>
      </c>
      <c r="C66" s="919"/>
      <c r="D66" s="745"/>
      <c r="E66" s="918"/>
      <c r="F66" s="185">
        <f>G20+G32+G35+G39+G53+G54+G55</f>
        <v>3197000</v>
      </c>
      <c r="G66" s="919"/>
      <c r="H66" s="745"/>
      <c r="I66" s="918"/>
      <c r="J66" s="963"/>
    </row>
    <row r="67" spans="1:10" ht="13.5" thickBot="1">
      <c r="A67" s="110">
        <v>58</v>
      </c>
      <c r="B67" s="913" t="s">
        <v>19</v>
      </c>
      <c r="C67" s="915"/>
      <c r="D67" s="914"/>
      <c r="E67" s="913"/>
      <c r="F67" s="916">
        <f>F64+F65+F66</f>
        <v>151480693</v>
      </c>
      <c r="G67" s="915"/>
      <c r="H67" s="914"/>
      <c r="I67" s="913"/>
      <c r="J67" s="916">
        <f>J64-J65+J66</f>
        <v>151480693</v>
      </c>
    </row>
    <row r="68" spans="3:9" ht="12.75">
      <c r="C68" s="911"/>
      <c r="E68" s="910"/>
      <c r="G68" s="910"/>
      <c r="I68" s="910"/>
    </row>
  </sheetData>
  <sheetProtection/>
  <mergeCells count="7">
    <mergeCell ref="A7:A9"/>
    <mergeCell ref="B8:B9"/>
    <mergeCell ref="D8:F8"/>
    <mergeCell ref="B2:J2"/>
    <mergeCell ref="B3:J3"/>
    <mergeCell ref="B4:J4"/>
    <mergeCell ref="B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9"/>
  <sheetViews>
    <sheetView zoomScale="88" zoomScaleNormal="88" zoomScalePageLayoutView="0" workbookViewId="0" topLeftCell="A1">
      <selection activeCell="A7" sqref="A7:E48"/>
    </sheetView>
  </sheetViews>
  <sheetFormatPr defaultColWidth="9.140625" defaultRowHeight="12.75"/>
  <cols>
    <col min="1" max="1" width="54.00390625" style="0" customWidth="1"/>
    <col min="2" max="2" width="9.8515625" style="0" customWidth="1"/>
    <col min="3" max="3" width="10.00390625" style="0" customWidth="1"/>
    <col min="4" max="4" width="7.00390625" style="0" customWidth="1"/>
    <col min="5" max="5" width="5.00390625" style="0" customWidth="1"/>
  </cols>
  <sheetData>
    <row r="1" spans="1:4" ht="15.75" customHeight="1">
      <c r="A1" s="1096"/>
      <c r="B1" s="1096"/>
      <c r="C1" s="1096"/>
      <c r="D1" s="1096"/>
    </row>
    <row r="2" s="1745" customFormat="1" ht="12.75">
      <c r="A2" s="1745" t="s">
        <v>1308</v>
      </c>
    </row>
    <row r="3" s="1745" customFormat="1" ht="12.75">
      <c r="A3" s="1745" t="s">
        <v>1307</v>
      </c>
    </row>
    <row r="4" s="1692" customFormat="1" ht="12.75">
      <c r="A4" s="1746" t="s">
        <v>1306</v>
      </c>
    </row>
    <row r="5" ht="12.75">
      <c r="A5" s="480"/>
    </row>
    <row r="6" spans="1:4" ht="12.75">
      <c r="A6" s="480"/>
      <c r="D6" s="245" t="s">
        <v>500</v>
      </c>
    </row>
    <row r="7" spans="1:5" ht="12.75">
      <c r="A7" s="208" t="s">
        <v>41</v>
      </c>
      <c r="B7" s="208" t="s">
        <v>27</v>
      </c>
      <c r="C7" s="208" t="s">
        <v>28</v>
      </c>
      <c r="D7" s="210" t="s">
        <v>29</v>
      </c>
      <c r="E7" s="1174"/>
    </row>
    <row r="8" spans="1:5" ht="16.5" thickBot="1">
      <c r="A8" s="987" t="s">
        <v>7</v>
      </c>
      <c r="B8" s="986" t="s">
        <v>1305</v>
      </c>
      <c r="C8" s="986" t="s">
        <v>1070</v>
      </c>
      <c r="D8" s="985" t="s">
        <v>21</v>
      </c>
      <c r="E8" s="1176"/>
    </row>
    <row r="9" spans="1:5" s="789" customFormat="1" ht="15.75">
      <c r="A9" s="984" t="s">
        <v>1304</v>
      </c>
      <c r="B9" s="983">
        <f>B11+B19+B25</f>
        <v>16307</v>
      </c>
      <c r="C9" s="983">
        <v>27546</v>
      </c>
      <c r="D9" s="982">
        <f>C9/B9*100</f>
        <v>168.9213221315999</v>
      </c>
      <c r="E9" s="110">
        <v>1</v>
      </c>
    </row>
    <row r="10" spans="1:5" ht="12.75">
      <c r="A10" s="978" t="s">
        <v>925</v>
      </c>
      <c r="B10" s="745"/>
      <c r="C10" s="745"/>
      <c r="D10" s="353"/>
      <c r="E10" s="110">
        <v>2</v>
      </c>
    </row>
    <row r="11" spans="1:5" s="197" customFormat="1" ht="12.75">
      <c r="A11" s="981" t="s">
        <v>1303</v>
      </c>
      <c r="B11" s="975">
        <f>B12+B13+B14+B15+B16+B17+B18</f>
        <v>4414</v>
      </c>
      <c r="C11" s="975">
        <v>4772</v>
      </c>
      <c r="D11" s="980">
        <f>C11/B11*100</f>
        <v>108.11055731762573</v>
      </c>
      <c r="E11" s="198">
        <v>3</v>
      </c>
    </row>
    <row r="12" spans="1:5" ht="12.75">
      <c r="A12" s="290" t="s">
        <v>1302</v>
      </c>
      <c r="B12" s="745">
        <v>2355</v>
      </c>
      <c r="C12" s="745">
        <v>3272</v>
      </c>
      <c r="D12" s="353">
        <f>C12/B12*100</f>
        <v>138.9384288747346</v>
      </c>
      <c r="E12" s="110">
        <v>4</v>
      </c>
    </row>
    <row r="13" spans="1:5" ht="12.75">
      <c r="A13" s="290" t="s">
        <v>1301</v>
      </c>
      <c r="B13" s="745">
        <v>166</v>
      </c>
      <c r="C13" s="745">
        <v>0</v>
      </c>
      <c r="D13" s="353">
        <f>C13/B13*100</f>
        <v>0</v>
      </c>
      <c r="E13" s="110">
        <v>5</v>
      </c>
    </row>
    <row r="14" spans="1:5" ht="12.75">
      <c r="A14" s="977" t="s">
        <v>1300</v>
      </c>
      <c r="B14" s="745">
        <v>891</v>
      </c>
      <c r="C14" s="745">
        <v>497</v>
      </c>
      <c r="D14" s="353">
        <f>C14/B14*100</f>
        <v>55.78002244668912</v>
      </c>
      <c r="E14" s="110">
        <v>6</v>
      </c>
    </row>
    <row r="15" spans="1:5" ht="12.75">
      <c r="A15" s="290" t="s">
        <v>1299</v>
      </c>
      <c r="B15" s="745">
        <v>999</v>
      </c>
      <c r="C15" s="745">
        <v>999</v>
      </c>
      <c r="D15" s="353">
        <f>C15/B15*100</f>
        <v>100</v>
      </c>
      <c r="E15" s="198">
        <v>7</v>
      </c>
    </row>
    <row r="16" spans="1:5" ht="12.75">
      <c r="A16" s="290" t="s">
        <v>1298</v>
      </c>
      <c r="B16" s="745"/>
      <c r="C16" s="745"/>
      <c r="D16" s="353"/>
      <c r="E16" s="110">
        <v>8</v>
      </c>
    </row>
    <row r="17" spans="1:5" ht="12.75">
      <c r="A17" s="290" t="s">
        <v>1297</v>
      </c>
      <c r="B17" s="745">
        <v>2</v>
      </c>
      <c r="C17" s="745">
        <v>1</v>
      </c>
      <c r="D17" s="353">
        <f aca="true" t="shared" si="0" ref="D17:D28">C17/B17*100</f>
        <v>50</v>
      </c>
      <c r="E17" s="110">
        <v>9</v>
      </c>
    </row>
    <row r="18" spans="1:5" ht="12.75">
      <c r="A18" s="977" t="s">
        <v>1296</v>
      </c>
      <c r="B18" s="745">
        <v>1</v>
      </c>
      <c r="C18" s="745">
        <v>3</v>
      </c>
      <c r="D18" s="353">
        <f t="shared" si="0"/>
        <v>300</v>
      </c>
      <c r="E18" s="110">
        <v>10</v>
      </c>
    </row>
    <row r="19" spans="1:5" ht="12.75">
      <c r="A19" s="976" t="s">
        <v>1295</v>
      </c>
      <c r="B19" s="975">
        <f>B20+B21+B22+B23+B24</f>
        <v>9897</v>
      </c>
      <c r="C19" s="975">
        <v>20739</v>
      </c>
      <c r="D19" s="974">
        <f t="shared" si="0"/>
        <v>209.54834798423764</v>
      </c>
      <c r="E19" s="198">
        <v>11</v>
      </c>
    </row>
    <row r="20" spans="1:5" ht="12.75">
      <c r="A20" s="290" t="s">
        <v>1294</v>
      </c>
      <c r="B20" s="745">
        <v>163</v>
      </c>
      <c r="C20" s="745">
        <v>159</v>
      </c>
      <c r="D20" s="353">
        <f t="shared" si="0"/>
        <v>97.54601226993866</v>
      </c>
      <c r="E20" s="110">
        <v>12</v>
      </c>
    </row>
    <row r="21" spans="1:5" ht="12.75">
      <c r="A21" s="977" t="s">
        <v>1293</v>
      </c>
      <c r="B21" s="745">
        <v>2</v>
      </c>
      <c r="C21" s="745">
        <v>2</v>
      </c>
      <c r="D21" s="353">
        <f t="shared" si="0"/>
        <v>100</v>
      </c>
      <c r="E21" s="110">
        <v>13</v>
      </c>
    </row>
    <row r="22" spans="1:5" ht="12.75">
      <c r="A22" s="290" t="s">
        <v>1292</v>
      </c>
      <c r="B22" s="745">
        <v>214</v>
      </c>
      <c r="C22" s="745">
        <v>364</v>
      </c>
      <c r="D22" s="353">
        <f t="shared" si="0"/>
        <v>170.09345794392522</v>
      </c>
      <c r="E22" s="110">
        <v>14</v>
      </c>
    </row>
    <row r="23" spans="1:5" ht="12.75">
      <c r="A23" s="290" t="s">
        <v>1291</v>
      </c>
      <c r="B23" s="745">
        <v>97</v>
      </c>
      <c r="C23" s="745">
        <v>129</v>
      </c>
      <c r="D23" s="353">
        <f t="shared" si="0"/>
        <v>132.98969072164948</v>
      </c>
      <c r="E23" s="198">
        <v>15</v>
      </c>
    </row>
    <row r="24" spans="1:5" s="480" customFormat="1" ht="12.75">
      <c r="A24" s="977" t="s">
        <v>1290</v>
      </c>
      <c r="B24" s="745">
        <v>9421</v>
      </c>
      <c r="C24" s="745">
        <v>20085</v>
      </c>
      <c r="D24" s="353">
        <f t="shared" si="0"/>
        <v>213.19392845770088</v>
      </c>
      <c r="E24" s="110">
        <v>16</v>
      </c>
    </row>
    <row r="25" spans="1:5" ht="12.75">
      <c r="A25" s="976" t="s">
        <v>1289</v>
      </c>
      <c r="B25" s="975">
        <f>B26+B27+B28</f>
        <v>1996</v>
      </c>
      <c r="C25" s="975">
        <v>2035</v>
      </c>
      <c r="D25" s="974">
        <f t="shared" si="0"/>
        <v>101.95390781563127</v>
      </c>
      <c r="E25" s="110">
        <v>17</v>
      </c>
    </row>
    <row r="26" spans="1:5" ht="12.75">
      <c r="A26" s="977" t="s">
        <v>1288</v>
      </c>
      <c r="B26" s="745">
        <v>757</v>
      </c>
      <c r="C26" s="745">
        <v>876</v>
      </c>
      <c r="D26" s="353">
        <f t="shared" si="0"/>
        <v>115.71994715984148</v>
      </c>
      <c r="E26" s="110">
        <v>18</v>
      </c>
    </row>
    <row r="27" spans="1:5" ht="12.75">
      <c r="A27" s="977" t="s">
        <v>1287</v>
      </c>
      <c r="B27" s="745">
        <v>889</v>
      </c>
      <c r="C27" s="745">
        <v>809</v>
      </c>
      <c r="D27" s="353">
        <f t="shared" si="0"/>
        <v>91.00112485939258</v>
      </c>
      <c r="E27" s="198">
        <v>19</v>
      </c>
    </row>
    <row r="28" spans="1:5" ht="12.75">
      <c r="A28" s="977" t="s">
        <v>1286</v>
      </c>
      <c r="B28" s="745">
        <v>350</v>
      </c>
      <c r="C28" s="745">
        <v>350</v>
      </c>
      <c r="D28" s="353">
        <f t="shared" si="0"/>
        <v>100</v>
      </c>
      <c r="E28" s="110">
        <v>20</v>
      </c>
    </row>
    <row r="29" spans="1:5" ht="12.75">
      <c r="A29" s="977"/>
      <c r="B29" s="745"/>
      <c r="C29" s="745"/>
      <c r="D29" s="353"/>
      <c r="E29" s="110">
        <v>21</v>
      </c>
    </row>
    <row r="30" spans="1:5" s="789" customFormat="1" ht="15.75">
      <c r="A30" s="979" t="s">
        <v>1285</v>
      </c>
      <c r="B30" s="747">
        <f>B32+B34+B36</f>
        <v>559601</v>
      </c>
      <c r="C30" s="747">
        <v>529936</v>
      </c>
      <c r="D30" s="974">
        <f>C30/B30*100</f>
        <v>94.69890153877495</v>
      </c>
      <c r="E30" s="110">
        <v>22</v>
      </c>
    </row>
    <row r="31" spans="1:5" ht="12.75">
      <c r="A31" s="978" t="s">
        <v>1284</v>
      </c>
      <c r="B31" s="745"/>
      <c r="C31" s="745"/>
      <c r="D31" s="974"/>
      <c r="E31" s="198">
        <v>23</v>
      </c>
    </row>
    <row r="32" spans="1:5" s="197" customFormat="1" ht="12.75">
      <c r="A32" s="976" t="s">
        <v>1283</v>
      </c>
      <c r="B32" s="975">
        <v>518840</v>
      </c>
      <c r="C32" s="975">
        <v>517680</v>
      </c>
      <c r="D32" s="974">
        <f>C32/B32*100</f>
        <v>99.77642433120037</v>
      </c>
      <c r="E32" s="110">
        <v>24</v>
      </c>
    </row>
    <row r="33" spans="1:5" ht="12.75">
      <c r="A33" s="290" t="s">
        <v>1282</v>
      </c>
      <c r="B33" s="745"/>
      <c r="C33" s="745"/>
      <c r="D33" s="353"/>
      <c r="E33" s="110">
        <v>25</v>
      </c>
    </row>
    <row r="34" spans="1:5" ht="12.75">
      <c r="A34" s="977" t="s">
        <v>1281</v>
      </c>
      <c r="B34" s="975">
        <v>0</v>
      </c>
      <c r="C34" s="975">
        <v>0</v>
      </c>
      <c r="D34" s="353"/>
      <c r="E34" s="110">
        <v>26</v>
      </c>
    </row>
    <row r="35" spans="1:5" ht="12.75">
      <c r="A35" s="290"/>
      <c r="B35" s="745"/>
      <c r="C35" s="745"/>
      <c r="D35" s="353"/>
      <c r="E35" s="198">
        <v>27</v>
      </c>
    </row>
    <row r="36" spans="1:5" ht="12.75">
      <c r="A36" s="976" t="s">
        <v>1280</v>
      </c>
      <c r="B36" s="975">
        <f>B37+B38+B39+B40+B41+B42+B43+B44+B45+B46+B47+B48</f>
        <v>40761</v>
      </c>
      <c r="C36" s="975">
        <v>12256</v>
      </c>
      <c r="D36" s="974">
        <f>C36/B36*100</f>
        <v>30.067957115870563</v>
      </c>
      <c r="E36" s="110">
        <v>28</v>
      </c>
    </row>
    <row r="37" spans="1:5" ht="12.75">
      <c r="A37" s="290" t="s">
        <v>1279</v>
      </c>
      <c r="B37" s="745">
        <v>0</v>
      </c>
      <c r="C37" s="745">
        <v>0</v>
      </c>
      <c r="D37" s="353"/>
      <c r="E37" s="110">
        <v>29</v>
      </c>
    </row>
    <row r="38" spans="1:5" ht="12.75">
      <c r="A38" s="290" t="s">
        <v>1278</v>
      </c>
      <c r="B38" s="745">
        <v>0</v>
      </c>
      <c r="C38" s="745">
        <v>2</v>
      </c>
      <c r="D38" s="353"/>
      <c r="E38" s="110">
        <v>30</v>
      </c>
    </row>
    <row r="39" spans="1:5" ht="12.75">
      <c r="A39" s="290" t="s">
        <v>1277</v>
      </c>
      <c r="B39" s="745">
        <v>0</v>
      </c>
      <c r="C39" s="745">
        <v>0</v>
      </c>
      <c r="D39" s="353"/>
      <c r="E39" s="198">
        <v>31</v>
      </c>
    </row>
    <row r="40" spans="1:5" ht="12.75">
      <c r="A40" s="290" t="s">
        <v>1276</v>
      </c>
      <c r="B40" s="745">
        <v>1</v>
      </c>
      <c r="C40" s="745">
        <v>1</v>
      </c>
      <c r="D40" s="353">
        <f aca="true" t="shared" si="1" ref="D40:D46">C40/B40*100</f>
        <v>100</v>
      </c>
      <c r="E40" s="110">
        <v>32</v>
      </c>
    </row>
    <row r="41" spans="1:5" ht="12.75">
      <c r="A41" s="290" t="s">
        <v>1275</v>
      </c>
      <c r="B41" s="745">
        <v>88</v>
      </c>
      <c r="C41" s="745">
        <v>52</v>
      </c>
      <c r="D41" s="353">
        <f t="shared" si="1"/>
        <v>59.09090909090909</v>
      </c>
      <c r="E41" s="110">
        <v>33</v>
      </c>
    </row>
    <row r="42" spans="1:5" ht="12.75">
      <c r="A42" s="290" t="s">
        <v>1274</v>
      </c>
      <c r="B42" s="745">
        <v>5</v>
      </c>
      <c r="C42" s="745">
        <v>6</v>
      </c>
      <c r="D42" s="353">
        <f t="shared" si="1"/>
        <v>120</v>
      </c>
      <c r="E42" s="110">
        <v>34</v>
      </c>
    </row>
    <row r="43" spans="1:5" ht="12.75">
      <c r="A43" s="290" t="s">
        <v>1273</v>
      </c>
      <c r="B43" s="745">
        <v>56</v>
      </c>
      <c r="C43" s="745">
        <v>56</v>
      </c>
      <c r="D43" s="353">
        <f t="shared" si="1"/>
        <v>100</v>
      </c>
      <c r="E43" s="198">
        <v>35</v>
      </c>
    </row>
    <row r="44" spans="1:5" ht="12.75">
      <c r="A44" s="290" t="s">
        <v>1272</v>
      </c>
      <c r="B44" s="745">
        <v>35821</v>
      </c>
      <c r="C44" s="745">
        <v>8470</v>
      </c>
      <c r="D44" s="353">
        <f t="shared" si="1"/>
        <v>23.645347701069205</v>
      </c>
      <c r="E44" s="110">
        <v>36</v>
      </c>
    </row>
    <row r="45" spans="1:5" ht="12.75">
      <c r="A45" s="290" t="s">
        <v>1271</v>
      </c>
      <c r="B45" s="745">
        <v>3629</v>
      </c>
      <c r="C45" s="745">
        <v>2509</v>
      </c>
      <c r="D45" s="353">
        <f t="shared" si="1"/>
        <v>69.13750344447506</v>
      </c>
      <c r="E45" s="110">
        <v>37</v>
      </c>
    </row>
    <row r="46" spans="1:5" ht="12.75">
      <c r="A46" s="290" t="s">
        <v>1270</v>
      </c>
      <c r="B46" s="745">
        <v>1</v>
      </c>
      <c r="C46" s="745">
        <v>0</v>
      </c>
      <c r="D46" s="353">
        <f t="shared" si="1"/>
        <v>0</v>
      </c>
      <c r="E46" s="110">
        <v>38</v>
      </c>
    </row>
    <row r="47" spans="1:5" ht="12.75">
      <c r="A47" s="290" t="s">
        <v>1269</v>
      </c>
      <c r="B47" s="745">
        <v>0</v>
      </c>
      <c r="C47" s="745">
        <v>0</v>
      </c>
      <c r="D47" s="353"/>
      <c r="E47" s="198">
        <v>39</v>
      </c>
    </row>
    <row r="48" spans="1:5" ht="13.5" thickBot="1">
      <c r="A48" s="973" t="s">
        <v>1268</v>
      </c>
      <c r="B48" s="972">
        <v>1160</v>
      </c>
      <c r="C48" s="972">
        <v>1160</v>
      </c>
      <c r="D48" s="971">
        <f>C48/B48*100</f>
        <v>100</v>
      </c>
      <c r="E48" s="110">
        <v>40</v>
      </c>
    </row>
    <row r="49" spans="1:4" ht="15">
      <c r="A49" s="6"/>
      <c r="B49" s="6"/>
      <c r="C49" s="6"/>
      <c r="D49" s="970"/>
    </row>
  </sheetData>
  <sheetProtection/>
  <mergeCells count="5">
    <mergeCell ref="A2:IV2"/>
    <mergeCell ref="A3:IV3"/>
    <mergeCell ref="A4:IV4"/>
    <mergeCell ref="A1:D1"/>
    <mergeCell ref="E7:E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F5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28125" style="0" customWidth="1"/>
    <col min="2" max="2" width="58.28125" style="0" customWidth="1"/>
    <col min="5" max="5" width="6.8515625" style="0" customWidth="1"/>
  </cols>
  <sheetData>
    <row r="3" spans="2:4" ht="12.75">
      <c r="B3" s="1158" t="s">
        <v>1317</v>
      </c>
      <c r="C3" s="1158"/>
      <c r="D3" s="1158"/>
    </row>
    <row r="4" spans="2:5" ht="12.75">
      <c r="B4" s="1236" t="s">
        <v>1316</v>
      </c>
      <c r="C4" s="1158"/>
      <c r="D4" s="1158"/>
      <c r="E4" s="1158"/>
    </row>
    <row r="5" spans="2:5" ht="12.75">
      <c r="B5" s="1236" t="s">
        <v>1315</v>
      </c>
      <c r="C5" s="1158"/>
      <c r="D5" s="1158"/>
      <c r="E5" s="1158"/>
    </row>
    <row r="6" spans="2:5" ht="12.75">
      <c r="B6" s="37"/>
      <c r="C6" s="37"/>
      <c r="D6" s="37"/>
      <c r="E6" s="37"/>
    </row>
    <row r="7" spans="2:5" ht="12.75">
      <c r="B7" s="37"/>
      <c r="C7" s="37"/>
      <c r="D7" s="37"/>
      <c r="E7" s="37"/>
    </row>
    <row r="8" spans="2:5" ht="12.75">
      <c r="B8" s="37"/>
      <c r="C8" s="37"/>
      <c r="D8" s="37"/>
      <c r="E8" s="37"/>
    </row>
    <row r="9" spans="2:5" ht="12.75">
      <c r="B9" s="37"/>
      <c r="C9" s="37"/>
      <c r="D9" s="37"/>
      <c r="E9" s="37"/>
    </row>
    <row r="10" spans="4:6" ht="12.75">
      <c r="D10" s="1377" t="s">
        <v>4</v>
      </c>
      <c r="E10" s="1377"/>
      <c r="F10" s="6"/>
    </row>
    <row r="11" spans="1:5" ht="12.75">
      <c r="A11" s="1174"/>
      <c r="B11" s="209" t="s">
        <v>41</v>
      </c>
      <c r="C11" s="208" t="s">
        <v>27</v>
      </c>
      <c r="D11" s="208" t="s">
        <v>28</v>
      </c>
      <c r="E11" s="208" t="s">
        <v>29</v>
      </c>
    </row>
    <row r="12" spans="1:5" ht="16.5" thickBot="1">
      <c r="A12" s="1176"/>
      <c r="B12" s="990" t="s">
        <v>7</v>
      </c>
      <c r="C12" s="986" t="s">
        <v>1305</v>
      </c>
      <c r="D12" s="986" t="s">
        <v>1070</v>
      </c>
      <c r="E12" s="986" t="s">
        <v>21</v>
      </c>
    </row>
    <row r="13" spans="1:5" ht="15.75">
      <c r="A13" s="110">
        <v>1</v>
      </c>
      <c r="B13" s="984" t="s">
        <v>1304</v>
      </c>
      <c r="C13" s="983">
        <f>C15+C23+C29</f>
        <v>16307</v>
      </c>
      <c r="D13" s="983">
        <v>27546</v>
      </c>
      <c r="E13" s="443">
        <f>D13/C13*100</f>
        <v>168.9213221315999</v>
      </c>
    </row>
    <row r="14" spans="1:5" ht="12.75">
      <c r="A14" s="110">
        <v>2</v>
      </c>
      <c r="B14" s="978" t="s">
        <v>925</v>
      </c>
      <c r="C14" s="745"/>
      <c r="D14" s="745"/>
      <c r="E14" s="455"/>
    </row>
    <row r="15" spans="1:5" ht="14.25" customHeight="1">
      <c r="A15" s="198">
        <v>3</v>
      </c>
      <c r="B15" s="981" t="s">
        <v>1314</v>
      </c>
      <c r="C15" s="975">
        <f>C16+C17+C18+C19+C20+C21+C22</f>
        <v>4414</v>
      </c>
      <c r="D15" s="975">
        <v>4772</v>
      </c>
      <c r="E15" s="989">
        <f>D15/C15*100</f>
        <v>108.11055731762573</v>
      </c>
    </row>
    <row r="16" spans="1:5" ht="12.75">
      <c r="A16" s="110">
        <v>4</v>
      </c>
      <c r="B16" s="290" t="s">
        <v>1302</v>
      </c>
      <c r="C16" s="745">
        <v>2355</v>
      </c>
      <c r="D16" s="745">
        <v>3272</v>
      </c>
      <c r="E16" s="455">
        <f>D16/C16*100</f>
        <v>138.9384288747346</v>
      </c>
    </row>
    <row r="17" spans="1:5" ht="12.75">
      <c r="A17" s="110">
        <v>5</v>
      </c>
      <c r="B17" s="290" t="s">
        <v>1301</v>
      </c>
      <c r="C17" s="745">
        <v>166</v>
      </c>
      <c r="D17" s="745">
        <v>0</v>
      </c>
      <c r="E17" s="455">
        <f>D17/C17*100</f>
        <v>0</v>
      </c>
    </row>
    <row r="18" spans="1:5" ht="12.75">
      <c r="A18" s="110">
        <v>6</v>
      </c>
      <c r="B18" s="977" t="s">
        <v>1300</v>
      </c>
      <c r="C18" s="745">
        <v>891</v>
      </c>
      <c r="D18" s="745">
        <v>497</v>
      </c>
      <c r="E18" s="455">
        <f>D18/C18*100</f>
        <v>55.78002244668912</v>
      </c>
    </row>
    <row r="19" spans="1:5" ht="12.75">
      <c r="A19" s="198">
        <v>7</v>
      </c>
      <c r="B19" s="290" t="s">
        <v>1299</v>
      </c>
      <c r="C19" s="745">
        <v>999</v>
      </c>
      <c r="D19" s="745">
        <v>999</v>
      </c>
      <c r="E19" s="455">
        <f>D19/C19*100</f>
        <v>100</v>
      </c>
    </row>
    <row r="20" spans="1:5" ht="12.75">
      <c r="A20" s="110">
        <v>8</v>
      </c>
      <c r="B20" s="290" t="s">
        <v>1298</v>
      </c>
      <c r="C20" s="745">
        <v>0</v>
      </c>
      <c r="D20" s="745">
        <v>0</v>
      </c>
      <c r="E20" s="455">
        <v>0</v>
      </c>
    </row>
    <row r="21" spans="1:5" ht="12.75">
      <c r="A21" s="110">
        <v>9</v>
      </c>
      <c r="B21" s="290" t="s">
        <v>1297</v>
      </c>
      <c r="C21" s="745">
        <v>2</v>
      </c>
      <c r="D21" s="745">
        <v>1</v>
      </c>
      <c r="E21" s="455">
        <f aca="true" t="shared" si="0" ref="E21:E33">D21/C21*100</f>
        <v>50</v>
      </c>
    </row>
    <row r="22" spans="1:5" ht="12.75">
      <c r="A22" s="110">
        <v>10</v>
      </c>
      <c r="B22" s="977" t="s">
        <v>1296</v>
      </c>
      <c r="C22" s="745">
        <v>1</v>
      </c>
      <c r="D22" s="745">
        <v>3</v>
      </c>
      <c r="E22" s="455">
        <f t="shared" si="0"/>
        <v>300</v>
      </c>
    </row>
    <row r="23" spans="1:5" ht="12.75">
      <c r="A23" s="198">
        <v>11</v>
      </c>
      <c r="B23" s="976" t="s">
        <v>1313</v>
      </c>
      <c r="C23" s="975">
        <f>C24+C25+C26+C27+C28</f>
        <v>9897</v>
      </c>
      <c r="D23" s="975">
        <v>20739</v>
      </c>
      <c r="E23" s="454">
        <f t="shared" si="0"/>
        <v>209.54834798423764</v>
      </c>
    </row>
    <row r="24" spans="1:5" ht="12.75">
      <c r="A24" s="110">
        <v>12</v>
      </c>
      <c r="B24" s="290" t="s">
        <v>1294</v>
      </c>
      <c r="C24" s="745">
        <v>163</v>
      </c>
      <c r="D24" s="745">
        <v>159</v>
      </c>
      <c r="E24" s="455">
        <f t="shared" si="0"/>
        <v>97.54601226993866</v>
      </c>
    </row>
    <row r="25" spans="1:5" ht="12.75">
      <c r="A25" s="110">
        <v>13</v>
      </c>
      <c r="B25" s="977" t="s">
        <v>1293</v>
      </c>
      <c r="C25" s="745">
        <v>2</v>
      </c>
      <c r="D25" s="745">
        <v>2</v>
      </c>
      <c r="E25" s="455">
        <f t="shared" si="0"/>
        <v>100</v>
      </c>
    </row>
    <row r="26" spans="1:5" ht="12.75">
      <c r="A26" s="110">
        <v>14</v>
      </c>
      <c r="B26" s="290" t="s">
        <v>1292</v>
      </c>
      <c r="C26" s="745">
        <v>214</v>
      </c>
      <c r="D26" s="745">
        <v>364</v>
      </c>
      <c r="E26" s="455">
        <f t="shared" si="0"/>
        <v>170.09345794392522</v>
      </c>
    </row>
    <row r="27" spans="1:5" ht="12.75">
      <c r="A27" s="198">
        <v>15</v>
      </c>
      <c r="B27" s="290" t="s">
        <v>1291</v>
      </c>
      <c r="C27" s="745">
        <v>97</v>
      </c>
      <c r="D27" s="745">
        <v>129</v>
      </c>
      <c r="E27" s="455">
        <f t="shared" si="0"/>
        <v>132.98969072164948</v>
      </c>
    </row>
    <row r="28" spans="1:5" ht="12.75">
      <c r="A28" s="110">
        <v>16</v>
      </c>
      <c r="B28" s="977" t="s">
        <v>1290</v>
      </c>
      <c r="C28" s="745">
        <v>9421</v>
      </c>
      <c r="D28" s="745">
        <v>20085</v>
      </c>
      <c r="E28" s="455">
        <f t="shared" si="0"/>
        <v>213.19392845770088</v>
      </c>
    </row>
    <row r="29" spans="1:5" ht="12.75">
      <c r="A29" s="110">
        <v>17</v>
      </c>
      <c r="B29" s="976" t="s">
        <v>1312</v>
      </c>
      <c r="C29" s="975">
        <f>C30+C31+C32</f>
        <v>1996</v>
      </c>
      <c r="D29" s="975">
        <v>2035</v>
      </c>
      <c r="E29" s="454">
        <f t="shared" si="0"/>
        <v>101.95390781563127</v>
      </c>
    </row>
    <row r="30" spans="1:5" ht="12.75">
      <c r="A30" s="110">
        <v>18</v>
      </c>
      <c r="B30" s="977" t="s">
        <v>1288</v>
      </c>
      <c r="C30" s="745">
        <v>757</v>
      </c>
      <c r="D30" s="745">
        <v>876</v>
      </c>
      <c r="E30" s="455">
        <f t="shared" si="0"/>
        <v>115.71994715984148</v>
      </c>
    </row>
    <row r="31" spans="1:5" ht="12.75">
      <c r="A31" s="198">
        <v>19</v>
      </c>
      <c r="B31" s="977" t="s">
        <v>1287</v>
      </c>
      <c r="C31" s="745">
        <v>889</v>
      </c>
      <c r="D31" s="745">
        <v>809</v>
      </c>
      <c r="E31" s="455">
        <f t="shared" si="0"/>
        <v>91.00112485939258</v>
      </c>
    </row>
    <row r="32" spans="1:5" ht="12.75">
      <c r="A32" s="110">
        <v>20</v>
      </c>
      <c r="B32" s="977" t="s">
        <v>1286</v>
      </c>
      <c r="C32" s="745">
        <v>350</v>
      </c>
      <c r="D32" s="745">
        <v>350</v>
      </c>
      <c r="E32" s="455">
        <f t="shared" si="0"/>
        <v>100</v>
      </c>
    </row>
    <row r="33" spans="1:5" ht="15.75">
      <c r="A33" s="110">
        <v>22</v>
      </c>
      <c r="B33" s="979" t="s">
        <v>1285</v>
      </c>
      <c r="C33" s="747">
        <f>C35+C37+C38</f>
        <v>559601</v>
      </c>
      <c r="D33" s="747">
        <v>529936</v>
      </c>
      <c r="E33" s="454">
        <f t="shared" si="0"/>
        <v>94.69890153877495</v>
      </c>
    </row>
    <row r="34" spans="1:5" ht="12.75">
      <c r="A34" s="198">
        <v>23</v>
      </c>
      <c r="B34" s="978" t="s">
        <v>1284</v>
      </c>
      <c r="C34" s="745"/>
      <c r="D34" s="745"/>
      <c r="E34" s="454"/>
    </row>
    <row r="35" spans="1:5" ht="12.75">
      <c r="A35" s="110">
        <v>24</v>
      </c>
      <c r="B35" s="976" t="s">
        <v>1311</v>
      </c>
      <c r="C35" s="975">
        <v>518840</v>
      </c>
      <c r="D35" s="975">
        <v>517680</v>
      </c>
      <c r="E35" s="454">
        <f>D35/C35*100</f>
        <v>99.77642433120037</v>
      </c>
    </row>
    <row r="36" spans="1:5" ht="12.75">
      <c r="A36" s="110">
        <v>25</v>
      </c>
      <c r="B36" s="290" t="s">
        <v>1282</v>
      </c>
      <c r="C36" s="745"/>
      <c r="D36" s="745"/>
      <c r="E36" s="455"/>
    </row>
    <row r="37" spans="1:5" ht="12.75">
      <c r="A37" s="110">
        <v>26</v>
      </c>
      <c r="B37" s="977" t="s">
        <v>1310</v>
      </c>
      <c r="C37" s="975">
        <v>0</v>
      </c>
      <c r="D37" s="975">
        <v>0</v>
      </c>
      <c r="E37" s="455">
        <v>0</v>
      </c>
    </row>
    <row r="38" spans="1:5" ht="12.75">
      <c r="A38" s="110">
        <v>28</v>
      </c>
      <c r="B38" s="976" t="s">
        <v>1309</v>
      </c>
      <c r="C38" s="975">
        <f>C39+C40+C41+C42+C43+C44+C45+C46+C47+C48+C49+C50</f>
        <v>40761</v>
      </c>
      <c r="D38" s="975">
        <v>12256</v>
      </c>
      <c r="E38" s="454">
        <f>D38/C38*100</f>
        <v>30.067957115870563</v>
      </c>
    </row>
    <row r="39" spans="1:5" ht="12.75">
      <c r="A39" s="110">
        <v>29</v>
      </c>
      <c r="B39" s="290" t="s">
        <v>1279</v>
      </c>
      <c r="C39" s="745">
        <v>0</v>
      </c>
      <c r="D39" s="745">
        <v>0</v>
      </c>
      <c r="E39" s="455">
        <v>0</v>
      </c>
    </row>
    <row r="40" spans="1:5" ht="12.75">
      <c r="A40" s="110">
        <v>30</v>
      </c>
      <c r="B40" s="290" t="s">
        <v>1278</v>
      </c>
      <c r="C40" s="745">
        <v>0</v>
      </c>
      <c r="D40" s="745">
        <v>2</v>
      </c>
      <c r="E40" s="455">
        <v>0</v>
      </c>
    </row>
    <row r="41" spans="1:5" ht="12.75">
      <c r="A41" s="198">
        <v>31</v>
      </c>
      <c r="B41" s="290" t="s">
        <v>1277</v>
      </c>
      <c r="C41" s="745">
        <v>0</v>
      </c>
      <c r="D41" s="745">
        <v>0</v>
      </c>
      <c r="E41" s="455">
        <v>0</v>
      </c>
    </row>
    <row r="42" spans="1:5" ht="12.75">
      <c r="A42" s="110">
        <v>32</v>
      </c>
      <c r="B42" s="290" t="s">
        <v>1276</v>
      </c>
      <c r="C42" s="745">
        <v>1</v>
      </c>
      <c r="D42" s="745">
        <v>1</v>
      </c>
      <c r="E42" s="455">
        <f aca="true" t="shared" si="1" ref="E42:E48">D42/C42*100</f>
        <v>100</v>
      </c>
    </row>
    <row r="43" spans="1:5" ht="12.75">
      <c r="A43" s="110">
        <v>33</v>
      </c>
      <c r="B43" s="290" t="s">
        <v>1275</v>
      </c>
      <c r="C43" s="745">
        <v>88</v>
      </c>
      <c r="D43" s="745">
        <v>52</v>
      </c>
      <c r="E43" s="455">
        <f t="shared" si="1"/>
        <v>59.09090909090909</v>
      </c>
    </row>
    <row r="44" spans="1:5" ht="12.75">
      <c r="A44" s="110">
        <v>34</v>
      </c>
      <c r="B44" s="290" t="s">
        <v>1274</v>
      </c>
      <c r="C44" s="745">
        <v>5</v>
      </c>
      <c r="D44" s="745">
        <v>6</v>
      </c>
      <c r="E44" s="455">
        <f t="shared" si="1"/>
        <v>120</v>
      </c>
    </row>
    <row r="45" spans="1:5" ht="12.75">
      <c r="A45" s="198">
        <v>35</v>
      </c>
      <c r="B45" s="290" t="s">
        <v>1273</v>
      </c>
      <c r="C45" s="745">
        <v>56</v>
      </c>
      <c r="D45" s="745">
        <v>56</v>
      </c>
      <c r="E45" s="455">
        <f t="shared" si="1"/>
        <v>100</v>
      </c>
    </row>
    <row r="46" spans="1:5" ht="12.75">
      <c r="A46" s="110">
        <v>36</v>
      </c>
      <c r="B46" s="290" t="s">
        <v>1272</v>
      </c>
      <c r="C46" s="745">
        <v>35821</v>
      </c>
      <c r="D46" s="745">
        <v>8470</v>
      </c>
      <c r="E46" s="455">
        <f t="shared" si="1"/>
        <v>23.645347701069205</v>
      </c>
    </row>
    <row r="47" spans="1:5" ht="12.75">
      <c r="A47" s="110">
        <v>37</v>
      </c>
      <c r="B47" s="290" t="s">
        <v>1271</v>
      </c>
      <c r="C47" s="745">
        <v>3629</v>
      </c>
      <c r="D47" s="745">
        <v>2509</v>
      </c>
      <c r="E47" s="455">
        <f t="shared" si="1"/>
        <v>69.13750344447506</v>
      </c>
    </row>
    <row r="48" spans="1:5" ht="12.75">
      <c r="A48" s="110">
        <v>38</v>
      </c>
      <c r="B48" s="290" t="s">
        <v>1270</v>
      </c>
      <c r="C48" s="745">
        <v>1</v>
      </c>
      <c r="D48" s="745">
        <v>0</v>
      </c>
      <c r="E48" s="455">
        <f t="shared" si="1"/>
        <v>0</v>
      </c>
    </row>
    <row r="49" spans="1:5" ht="12.75">
      <c r="A49" s="198">
        <v>39</v>
      </c>
      <c r="B49" s="290" t="s">
        <v>1269</v>
      </c>
      <c r="C49" s="745">
        <v>0</v>
      </c>
      <c r="D49" s="745">
        <v>0</v>
      </c>
      <c r="E49" s="455">
        <v>0</v>
      </c>
    </row>
    <row r="50" spans="1:5" ht="13.5" thickBot="1">
      <c r="A50" s="110">
        <v>40</v>
      </c>
      <c r="B50" s="973" t="s">
        <v>1268</v>
      </c>
      <c r="C50" s="972">
        <v>1160</v>
      </c>
      <c r="D50" s="972">
        <v>1160</v>
      </c>
      <c r="E50" s="988">
        <f>D50/C50*100</f>
        <v>100</v>
      </c>
    </row>
  </sheetData>
  <sheetProtection/>
  <mergeCells count="5">
    <mergeCell ref="B3:D3"/>
    <mergeCell ref="B4:E4"/>
    <mergeCell ref="B5:E5"/>
    <mergeCell ref="A11:A12"/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00390625" style="727" customWidth="1"/>
    <col min="2" max="5" width="9.140625" style="727" customWidth="1"/>
    <col min="6" max="6" width="14.140625" style="727" customWidth="1"/>
    <col min="7" max="7" width="9.140625" style="727" customWidth="1"/>
    <col min="8" max="8" width="11.00390625" style="727" customWidth="1"/>
    <col min="9" max="16384" width="9.140625" style="727" customWidth="1"/>
  </cols>
  <sheetData>
    <row r="1" spans="2:13" ht="20.25" customHeight="1">
      <c r="B1" s="727" t="s">
        <v>1358</v>
      </c>
      <c r="M1" s="738" t="s">
        <v>227</v>
      </c>
    </row>
    <row r="2" spans="2:13" ht="15">
      <c r="B2" s="1613" t="s">
        <v>1341</v>
      </c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</row>
    <row r="3" spans="2:13" ht="15">
      <c r="B3" s="1806" t="s">
        <v>1357</v>
      </c>
      <c r="C3" s="1806"/>
      <c r="D3" s="1806"/>
      <c r="E3" s="1806"/>
      <c r="F3" s="1806"/>
      <c r="G3" s="1806"/>
      <c r="H3" s="1806"/>
      <c r="I3" s="1806"/>
      <c r="J3" s="1806"/>
      <c r="K3" s="1806"/>
      <c r="L3" s="1806"/>
      <c r="M3" s="1806"/>
    </row>
    <row r="4" spans="2:13" ht="15">
      <c r="B4" s="1613" t="s">
        <v>1339</v>
      </c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</row>
    <row r="5" ht="15">
      <c r="L5" s="738" t="s">
        <v>1338</v>
      </c>
    </row>
    <row r="6" spans="1:13" ht="15">
      <c r="A6" s="1782"/>
      <c r="B6" s="1615" t="s">
        <v>41</v>
      </c>
      <c r="C6" s="1615"/>
      <c r="D6" s="1615"/>
      <c r="E6" s="1615"/>
      <c r="F6" s="1616"/>
      <c r="G6" s="737" t="s">
        <v>27</v>
      </c>
      <c r="H6" s="737" t="s">
        <v>28</v>
      </c>
      <c r="I6" s="737" t="s">
        <v>29</v>
      </c>
      <c r="J6" s="737" t="s">
        <v>30</v>
      </c>
      <c r="K6" s="737" t="s">
        <v>439</v>
      </c>
      <c r="L6" s="737" t="s">
        <v>438</v>
      </c>
      <c r="M6" s="737" t="s">
        <v>437</v>
      </c>
    </row>
    <row r="7" spans="1:13" ht="15">
      <c r="A7" s="1783"/>
      <c r="B7" s="1785" t="s">
        <v>7</v>
      </c>
      <c r="C7" s="1786"/>
      <c r="D7" s="1786"/>
      <c r="E7" s="1786"/>
      <c r="F7" s="1787"/>
      <c r="G7" s="1005" t="s">
        <v>1337</v>
      </c>
      <c r="H7" s="1794" t="s">
        <v>1336</v>
      </c>
      <c r="I7" s="1795"/>
      <c r="J7" s="1795"/>
      <c r="K7" s="1796"/>
      <c r="L7" s="1005" t="s">
        <v>1335</v>
      </c>
      <c r="M7" s="1007" t="s">
        <v>1334</v>
      </c>
    </row>
    <row r="8" spans="1:13" ht="15.75" thickBot="1">
      <c r="A8" s="1783"/>
      <c r="B8" s="1788"/>
      <c r="C8" s="1789"/>
      <c r="D8" s="1789"/>
      <c r="E8" s="1789"/>
      <c r="F8" s="1790"/>
      <c r="G8" s="1004" t="s">
        <v>3</v>
      </c>
      <c r="H8" s="1002" t="s">
        <v>1333</v>
      </c>
      <c r="I8" s="1006" t="s">
        <v>1332</v>
      </c>
      <c r="J8" s="1006" t="s">
        <v>1331</v>
      </c>
      <c r="K8" s="1005" t="s">
        <v>1330</v>
      </c>
      <c r="L8" s="1004" t="s">
        <v>3</v>
      </c>
      <c r="M8" s="1004"/>
    </row>
    <row r="9" spans="1:13" ht="4.5" customHeight="1" hidden="1">
      <c r="A9" s="1783"/>
      <c r="B9" s="1788"/>
      <c r="C9" s="1789"/>
      <c r="D9" s="1789"/>
      <c r="E9" s="1789"/>
      <c r="F9" s="1790"/>
      <c r="G9" s="1001"/>
      <c r="H9" s="1003"/>
      <c r="I9" s="1003"/>
      <c r="J9" s="1002"/>
      <c r="K9" s="1001"/>
      <c r="L9" s="1001"/>
      <c r="M9" s="1001"/>
    </row>
    <row r="10" spans="1:13" ht="15.75" thickBot="1">
      <c r="A10" s="1784"/>
      <c r="B10" s="1791"/>
      <c r="C10" s="1792"/>
      <c r="D10" s="1792"/>
      <c r="E10" s="1792"/>
      <c r="F10" s="1793"/>
      <c r="G10" s="1000"/>
      <c r="H10" s="1797" t="s">
        <v>1329</v>
      </c>
      <c r="I10" s="1798"/>
      <c r="J10" s="1798"/>
      <c r="K10" s="1799"/>
      <c r="L10" s="999"/>
      <c r="M10" s="998"/>
    </row>
    <row r="11" spans="1:13" ht="15">
      <c r="A11" s="730">
        <v>1</v>
      </c>
      <c r="B11" s="1778" t="s">
        <v>1356</v>
      </c>
      <c r="C11" s="1779"/>
      <c r="D11" s="1779"/>
      <c r="E11" s="1779"/>
      <c r="F11" s="1780"/>
      <c r="G11" s="997">
        <v>218164</v>
      </c>
      <c r="H11" s="1016">
        <v>0</v>
      </c>
      <c r="I11" s="1016">
        <v>5796</v>
      </c>
      <c r="J11" s="1016">
        <v>0</v>
      </c>
      <c r="K11" s="1016">
        <v>0</v>
      </c>
      <c r="L11" s="997">
        <f aca="true" t="shared" si="0" ref="L11:L25">G11+H11+I11+J11+K11</f>
        <v>223960</v>
      </c>
      <c r="M11" s="1015">
        <v>209767</v>
      </c>
    </row>
    <row r="12" spans="1:13" ht="15">
      <c r="A12" s="730">
        <v>2</v>
      </c>
      <c r="B12" s="1778" t="s">
        <v>1355</v>
      </c>
      <c r="C12" s="1779"/>
      <c r="D12" s="1779"/>
      <c r="E12" s="1779"/>
      <c r="F12" s="1780"/>
      <c r="G12" s="997">
        <v>69288</v>
      </c>
      <c r="H12" s="997">
        <v>0</v>
      </c>
      <c r="I12" s="997">
        <v>1591</v>
      </c>
      <c r="J12" s="997">
        <v>0</v>
      </c>
      <c r="K12" s="997">
        <v>0</v>
      </c>
      <c r="L12" s="997">
        <f t="shared" si="0"/>
        <v>70879</v>
      </c>
      <c r="M12" s="1015">
        <v>62373</v>
      </c>
    </row>
    <row r="13" spans="1:13" ht="15">
      <c r="A13" s="730">
        <v>3</v>
      </c>
      <c r="B13" s="1778" t="s">
        <v>1354</v>
      </c>
      <c r="C13" s="1779"/>
      <c r="D13" s="1779"/>
      <c r="E13" s="1779"/>
      <c r="F13" s="1780"/>
      <c r="G13" s="997">
        <v>143194</v>
      </c>
      <c r="H13" s="997">
        <v>0</v>
      </c>
      <c r="I13" s="997">
        <v>4974</v>
      </c>
      <c r="J13" s="997">
        <v>10690</v>
      </c>
      <c r="K13" s="997">
        <v>0</v>
      </c>
      <c r="L13" s="997">
        <f t="shared" si="0"/>
        <v>158858</v>
      </c>
      <c r="M13" s="1015">
        <v>152444</v>
      </c>
    </row>
    <row r="14" spans="1:13" ht="15">
      <c r="A14" s="730">
        <v>4</v>
      </c>
      <c r="B14" s="1778" t="s">
        <v>1353</v>
      </c>
      <c r="C14" s="1779"/>
      <c r="D14" s="1779"/>
      <c r="E14" s="1779"/>
      <c r="F14" s="1780"/>
      <c r="G14" s="997">
        <v>25500</v>
      </c>
      <c r="H14" s="997">
        <v>0</v>
      </c>
      <c r="I14" s="997">
        <v>0</v>
      </c>
      <c r="J14" s="997">
        <v>2834</v>
      </c>
      <c r="K14" s="997">
        <v>0</v>
      </c>
      <c r="L14" s="997">
        <f t="shared" si="0"/>
        <v>28334</v>
      </c>
      <c r="M14" s="1015">
        <v>28334</v>
      </c>
    </row>
    <row r="15" spans="1:13" ht="15">
      <c r="A15" s="730">
        <v>5</v>
      </c>
      <c r="B15" s="1778" t="s">
        <v>1352</v>
      </c>
      <c r="C15" s="1779"/>
      <c r="D15" s="1779"/>
      <c r="E15" s="1779"/>
      <c r="F15" s="1780"/>
      <c r="G15" s="997">
        <v>32496</v>
      </c>
      <c r="H15" s="997">
        <v>0</v>
      </c>
      <c r="I15" s="997">
        <v>0</v>
      </c>
      <c r="J15" s="997">
        <v>-3</v>
      </c>
      <c r="K15" s="997">
        <v>0</v>
      </c>
      <c r="L15" s="997">
        <f t="shared" si="0"/>
        <v>32493</v>
      </c>
      <c r="M15" s="1015">
        <v>28432</v>
      </c>
    </row>
    <row r="16" spans="1:13" ht="15">
      <c r="A16" s="730">
        <v>6</v>
      </c>
      <c r="B16" s="1778" t="s">
        <v>1351</v>
      </c>
      <c r="C16" s="1779"/>
      <c r="D16" s="1779"/>
      <c r="E16" s="1779"/>
      <c r="F16" s="1780"/>
      <c r="G16" s="997">
        <v>18838</v>
      </c>
      <c r="H16" s="997">
        <v>0</v>
      </c>
      <c r="I16" s="997">
        <v>1607</v>
      </c>
      <c r="J16" s="997">
        <v>0</v>
      </c>
      <c r="K16" s="997">
        <v>0</v>
      </c>
      <c r="L16" s="997">
        <f t="shared" si="0"/>
        <v>20445</v>
      </c>
      <c r="M16" s="1015">
        <v>19453</v>
      </c>
    </row>
    <row r="17" spans="1:13" ht="15">
      <c r="A17" s="730">
        <v>7</v>
      </c>
      <c r="B17" s="1778" t="s">
        <v>1350</v>
      </c>
      <c r="C17" s="1779"/>
      <c r="D17" s="1779"/>
      <c r="E17" s="1779"/>
      <c r="F17" s="1780"/>
      <c r="G17" s="997">
        <v>0</v>
      </c>
      <c r="H17" s="997">
        <v>0</v>
      </c>
      <c r="I17" s="997">
        <v>0</v>
      </c>
      <c r="J17" s="997">
        <v>0</v>
      </c>
      <c r="K17" s="997">
        <v>0</v>
      </c>
      <c r="L17" s="997">
        <f t="shared" si="0"/>
        <v>0</v>
      </c>
      <c r="M17" s="1015">
        <v>0</v>
      </c>
    </row>
    <row r="18" spans="1:13" ht="15">
      <c r="A18" s="730">
        <v>8</v>
      </c>
      <c r="B18" s="1778" t="s">
        <v>1349</v>
      </c>
      <c r="C18" s="1779"/>
      <c r="D18" s="1779"/>
      <c r="E18" s="1779"/>
      <c r="F18" s="1780"/>
      <c r="G18" s="997">
        <v>0</v>
      </c>
      <c r="H18" s="997">
        <v>0</v>
      </c>
      <c r="I18" s="997">
        <v>0</v>
      </c>
      <c r="J18" s="997">
        <v>0</v>
      </c>
      <c r="K18" s="997">
        <v>0</v>
      </c>
      <c r="L18" s="997">
        <f t="shared" si="0"/>
        <v>0</v>
      </c>
      <c r="M18" s="1015">
        <v>0</v>
      </c>
    </row>
    <row r="19" spans="1:13" ht="15">
      <c r="A19" s="730">
        <v>9</v>
      </c>
      <c r="B19" s="1778" t="s">
        <v>1348</v>
      </c>
      <c r="C19" s="1779"/>
      <c r="D19" s="1779"/>
      <c r="E19" s="1779"/>
      <c r="F19" s="1780"/>
      <c r="G19" s="997">
        <v>453562</v>
      </c>
      <c r="H19" s="997">
        <v>0</v>
      </c>
      <c r="I19" s="997">
        <v>3422</v>
      </c>
      <c r="J19" s="997">
        <v>14187</v>
      </c>
      <c r="K19" s="997">
        <v>0</v>
      </c>
      <c r="L19" s="997">
        <f t="shared" si="0"/>
        <v>471171</v>
      </c>
      <c r="M19" s="1015">
        <v>37874</v>
      </c>
    </row>
    <row r="20" spans="1:13" ht="15">
      <c r="A20" s="730">
        <v>10</v>
      </c>
      <c r="B20" s="1778" t="s">
        <v>1347</v>
      </c>
      <c r="C20" s="1779"/>
      <c r="D20" s="1779"/>
      <c r="E20" s="1779"/>
      <c r="F20" s="1780"/>
      <c r="G20" s="997">
        <v>13790</v>
      </c>
      <c r="H20" s="997">
        <v>0</v>
      </c>
      <c r="I20" s="997">
        <v>22500</v>
      </c>
      <c r="J20" s="997">
        <v>0</v>
      </c>
      <c r="K20" s="997">
        <v>0</v>
      </c>
      <c r="L20" s="997">
        <f t="shared" si="0"/>
        <v>36290</v>
      </c>
      <c r="M20" s="1015">
        <v>17839</v>
      </c>
    </row>
    <row r="21" spans="1:13" ht="15">
      <c r="A21" s="730">
        <v>11</v>
      </c>
      <c r="B21" s="1803" t="s">
        <v>1346</v>
      </c>
      <c r="C21" s="1804"/>
      <c r="D21" s="1804"/>
      <c r="E21" s="1804"/>
      <c r="F21" s="1805"/>
      <c r="G21" s="997">
        <v>1000</v>
      </c>
      <c r="H21" s="997">
        <v>0</v>
      </c>
      <c r="I21" s="997">
        <v>0</v>
      </c>
      <c r="J21" s="997">
        <v>0</v>
      </c>
      <c r="K21" s="997">
        <v>0</v>
      </c>
      <c r="L21" s="997">
        <f t="shared" si="0"/>
        <v>1000</v>
      </c>
      <c r="M21" s="1015">
        <v>-11</v>
      </c>
    </row>
    <row r="22" spans="1:13" ht="15">
      <c r="A22" s="730">
        <v>12</v>
      </c>
      <c r="B22" s="1775" t="s">
        <v>1345</v>
      </c>
      <c r="C22" s="1776"/>
      <c r="D22" s="1776"/>
      <c r="E22" s="1776"/>
      <c r="F22" s="1777"/>
      <c r="G22" s="997">
        <v>2000</v>
      </c>
      <c r="H22" s="997">
        <v>0</v>
      </c>
      <c r="I22" s="997">
        <v>0</v>
      </c>
      <c r="J22" s="997">
        <v>0</v>
      </c>
      <c r="K22" s="997">
        <v>0</v>
      </c>
      <c r="L22" s="997">
        <f t="shared" si="0"/>
        <v>2000</v>
      </c>
      <c r="M22" s="997">
        <v>1600</v>
      </c>
    </row>
    <row r="23" spans="1:13" ht="15">
      <c r="A23" s="730">
        <v>13</v>
      </c>
      <c r="B23" s="1775" t="s">
        <v>1344</v>
      </c>
      <c r="C23" s="1776"/>
      <c r="D23" s="1776"/>
      <c r="E23" s="1776"/>
      <c r="F23" s="1777"/>
      <c r="G23" s="997">
        <v>0</v>
      </c>
      <c r="H23" s="997">
        <v>0</v>
      </c>
      <c r="I23" s="997">
        <v>20000</v>
      </c>
      <c r="J23" s="997">
        <v>55153</v>
      </c>
      <c r="K23" s="997">
        <v>0</v>
      </c>
      <c r="L23" s="997">
        <f t="shared" si="0"/>
        <v>75153</v>
      </c>
      <c r="M23" s="997">
        <v>0</v>
      </c>
    </row>
    <row r="24" spans="1:13" ht="15.75" thickBot="1">
      <c r="A24" s="730">
        <v>14</v>
      </c>
      <c r="B24" s="1807" t="s">
        <v>1343</v>
      </c>
      <c r="C24" s="1808"/>
      <c r="D24" s="1808"/>
      <c r="E24" s="1808"/>
      <c r="F24" s="1809"/>
      <c r="G24" s="995">
        <v>0</v>
      </c>
      <c r="H24" s="995">
        <v>0</v>
      </c>
      <c r="I24" s="995">
        <v>0</v>
      </c>
      <c r="J24" s="995">
        <v>0</v>
      </c>
      <c r="K24" s="995">
        <v>0</v>
      </c>
      <c r="L24" s="996">
        <f t="shared" si="0"/>
        <v>0</v>
      </c>
      <c r="M24" s="1014">
        <v>-1171</v>
      </c>
    </row>
    <row r="25" spans="1:13" ht="15.75" thickBot="1">
      <c r="A25" s="730">
        <v>15</v>
      </c>
      <c r="B25" s="1800" t="s">
        <v>1342</v>
      </c>
      <c r="C25" s="1801"/>
      <c r="D25" s="1801"/>
      <c r="E25" s="1801"/>
      <c r="F25" s="1802"/>
      <c r="G25" s="993">
        <f>SUM(G11:G24)</f>
        <v>977832</v>
      </c>
      <c r="H25" s="993">
        <f>SUM(H11:H24)</f>
        <v>0</v>
      </c>
      <c r="I25" s="993">
        <f>SUM(I11:I24)</f>
        <v>59890</v>
      </c>
      <c r="J25" s="993">
        <f>SUM(J11:J24)</f>
        <v>82861</v>
      </c>
      <c r="K25" s="993">
        <f>SUM(K11:K24)</f>
        <v>0</v>
      </c>
      <c r="L25" s="993">
        <f t="shared" si="0"/>
        <v>1120583</v>
      </c>
      <c r="M25" s="1013">
        <f>SUM(M11:M24)</f>
        <v>556934</v>
      </c>
    </row>
    <row r="26" spans="1:13" ht="15">
      <c r="A26" s="1011"/>
      <c r="B26" s="1010"/>
      <c r="C26" s="1010"/>
      <c r="D26" s="1010"/>
      <c r="E26" s="1010"/>
      <c r="F26" s="1010"/>
      <c r="G26" s="1009"/>
      <c r="H26" s="1009"/>
      <c r="I26" s="1009"/>
      <c r="J26" s="1009"/>
      <c r="K26" s="1009"/>
      <c r="L26" s="1009"/>
      <c r="M26" s="1008"/>
    </row>
    <row r="27" spans="1:14" ht="15">
      <c r="A27" s="1011"/>
      <c r="B27" s="1010"/>
      <c r="C27" s="1010"/>
      <c r="D27" s="1010"/>
      <c r="E27" s="1010"/>
      <c r="F27" s="1010"/>
      <c r="G27" s="1009"/>
      <c r="H27" s="1009"/>
      <c r="I27" s="1009"/>
      <c r="J27" s="1009"/>
      <c r="K27" s="1009"/>
      <c r="L27" s="1009"/>
      <c r="M27" s="1008"/>
      <c r="N27" s="1012"/>
    </row>
    <row r="28" spans="1:13" ht="15">
      <c r="A28" s="1011"/>
      <c r="B28" s="1010"/>
      <c r="C28" s="1010"/>
      <c r="D28" s="1010"/>
      <c r="E28" s="1010"/>
      <c r="F28" s="1010"/>
      <c r="G28" s="1009"/>
      <c r="H28" s="1009"/>
      <c r="I28" s="1009"/>
      <c r="J28" s="1009"/>
      <c r="K28" s="1009"/>
      <c r="L28" s="1009"/>
      <c r="M28" s="1008"/>
    </row>
    <row r="29" spans="1:13" ht="15">
      <c r="A29" s="1011"/>
      <c r="B29" s="1010"/>
      <c r="C29" s="1010"/>
      <c r="D29" s="1010"/>
      <c r="E29" s="1010"/>
      <c r="F29" s="1010"/>
      <c r="G29" s="1009"/>
      <c r="H29" s="1009"/>
      <c r="I29" s="1009"/>
      <c r="J29" s="1009"/>
      <c r="K29" s="1009"/>
      <c r="L29" s="1009"/>
      <c r="M29" s="1008"/>
    </row>
    <row r="30" spans="1:13" ht="15">
      <c r="A30" s="1011"/>
      <c r="B30" s="1010"/>
      <c r="C30" s="1010"/>
      <c r="D30" s="1010"/>
      <c r="E30" s="1010"/>
      <c r="F30" s="1010"/>
      <c r="G30" s="1009"/>
      <c r="H30" s="1009"/>
      <c r="I30" s="1009"/>
      <c r="J30" s="1009"/>
      <c r="K30" s="1009"/>
      <c r="L30" s="1009"/>
      <c r="M30" s="1008"/>
    </row>
    <row r="31" spans="1:13" ht="15">
      <c r="A31" s="1011"/>
      <c r="B31" s="1010"/>
      <c r="C31" s="1010"/>
      <c r="D31" s="1010"/>
      <c r="E31" s="1010"/>
      <c r="F31" s="1010"/>
      <c r="G31" s="1009"/>
      <c r="H31" s="1009"/>
      <c r="I31" s="1009"/>
      <c r="J31" s="1009"/>
      <c r="K31" s="1009"/>
      <c r="L31" s="1009"/>
      <c r="M31" s="1008"/>
    </row>
    <row r="32" spans="1:13" ht="15">
      <c r="A32" s="1011"/>
      <c r="B32" s="1010"/>
      <c r="C32" s="1010"/>
      <c r="D32" s="1010"/>
      <c r="E32" s="1010"/>
      <c r="F32" s="1010"/>
      <c r="G32" s="1009"/>
      <c r="H32" s="1009"/>
      <c r="I32" s="1009"/>
      <c r="J32" s="1009"/>
      <c r="K32" s="1009"/>
      <c r="L32" s="1009"/>
      <c r="M32" s="1008" t="s">
        <v>179</v>
      </c>
    </row>
    <row r="33" spans="1:13" ht="15">
      <c r="A33" s="1011"/>
      <c r="B33" s="1781" t="s">
        <v>1341</v>
      </c>
      <c r="C33" s="1781"/>
      <c r="D33" s="1781"/>
      <c r="E33" s="1781"/>
      <c r="F33" s="1781"/>
      <c r="G33" s="1781"/>
      <c r="H33" s="1781"/>
      <c r="I33" s="1781"/>
      <c r="J33" s="1781"/>
      <c r="K33" s="1781"/>
      <c r="L33" s="1781"/>
      <c r="M33" s="1008"/>
    </row>
    <row r="34" spans="1:13" ht="15">
      <c r="A34" s="1011"/>
      <c r="B34" s="1781" t="s">
        <v>1340</v>
      </c>
      <c r="C34" s="1781"/>
      <c r="D34" s="1781"/>
      <c r="E34" s="1781"/>
      <c r="F34" s="1781"/>
      <c r="G34" s="1781"/>
      <c r="H34" s="1781"/>
      <c r="I34" s="1781"/>
      <c r="J34" s="1781"/>
      <c r="K34" s="1781"/>
      <c r="L34" s="1781"/>
      <c r="M34" s="1008"/>
    </row>
    <row r="35" spans="1:13" ht="15">
      <c r="A35" s="1011"/>
      <c r="B35" s="1781" t="s">
        <v>1339</v>
      </c>
      <c r="C35" s="1781"/>
      <c r="D35" s="1781"/>
      <c r="E35" s="1781"/>
      <c r="F35" s="1781"/>
      <c r="G35" s="1781"/>
      <c r="H35" s="1781"/>
      <c r="I35" s="1781"/>
      <c r="J35" s="1781"/>
      <c r="K35" s="1781"/>
      <c r="L35" s="1781"/>
      <c r="M35" s="1008"/>
    </row>
    <row r="36" spans="1:12" ht="15">
      <c r="A36" s="1011"/>
      <c r="B36" s="1010"/>
      <c r="C36" s="1010"/>
      <c r="D36" s="1010"/>
      <c r="E36" s="1010"/>
      <c r="F36" s="1010"/>
      <c r="G36" s="1009"/>
      <c r="H36" s="1009"/>
      <c r="I36" s="1009"/>
      <c r="J36" s="1009"/>
      <c r="K36" s="1009"/>
      <c r="L36" s="1009"/>
    </row>
    <row r="37" spans="1:13" ht="15">
      <c r="A37" s="1011"/>
      <c r="B37" s="1010"/>
      <c r="C37" s="1010"/>
      <c r="D37" s="1010"/>
      <c r="E37" s="1010"/>
      <c r="F37" s="1010"/>
      <c r="G37" s="1009"/>
      <c r="H37" s="1009"/>
      <c r="I37" s="1009"/>
      <c r="J37" s="1009"/>
      <c r="K37" s="1009"/>
      <c r="L37" s="738" t="s">
        <v>1338</v>
      </c>
      <c r="M37" s="1008"/>
    </row>
    <row r="38" spans="1:13" ht="15">
      <c r="A38" s="1782"/>
      <c r="B38" s="1615" t="s">
        <v>41</v>
      </c>
      <c r="C38" s="1615"/>
      <c r="D38" s="1615"/>
      <c r="E38" s="1615"/>
      <c r="F38" s="1616"/>
      <c r="G38" s="737" t="s">
        <v>27</v>
      </c>
      <c r="H38" s="737" t="s">
        <v>28</v>
      </c>
      <c r="I38" s="737" t="s">
        <v>29</v>
      </c>
      <c r="J38" s="737" t="s">
        <v>30</v>
      </c>
      <c r="K38" s="737" t="s">
        <v>439</v>
      </c>
      <c r="L38" s="737" t="s">
        <v>438</v>
      </c>
      <c r="M38" s="737" t="s">
        <v>437</v>
      </c>
    </row>
    <row r="39" spans="1:13" ht="15">
      <c r="A39" s="1783"/>
      <c r="B39" s="1785" t="s">
        <v>7</v>
      </c>
      <c r="C39" s="1786"/>
      <c r="D39" s="1786"/>
      <c r="E39" s="1786"/>
      <c r="F39" s="1787"/>
      <c r="G39" s="1005" t="s">
        <v>1337</v>
      </c>
      <c r="H39" s="1794" t="s">
        <v>1336</v>
      </c>
      <c r="I39" s="1795"/>
      <c r="J39" s="1795"/>
      <c r="K39" s="1796"/>
      <c r="L39" s="1005" t="s">
        <v>1335</v>
      </c>
      <c r="M39" s="1007" t="s">
        <v>1334</v>
      </c>
    </row>
    <row r="40" spans="1:13" ht="15">
      <c r="A40" s="1783"/>
      <c r="B40" s="1788"/>
      <c r="C40" s="1789"/>
      <c r="D40" s="1789"/>
      <c r="E40" s="1789"/>
      <c r="F40" s="1790"/>
      <c r="G40" s="1004" t="s">
        <v>3</v>
      </c>
      <c r="H40" s="1002" t="s">
        <v>1333</v>
      </c>
      <c r="I40" s="1006" t="s">
        <v>1332</v>
      </c>
      <c r="J40" s="1006" t="s">
        <v>1331</v>
      </c>
      <c r="K40" s="1005" t="s">
        <v>1330</v>
      </c>
      <c r="L40" s="1004" t="s">
        <v>3</v>
      </c>
      <c r="M40" s="1004"/>
    </row>
    <row r="41" spans="1:13" ht="15.75" thickBot="1">
      <c r="A41" s="1783"/>
      <c r="B41" s="1788"/>
      <c r="C41" s="1789"/>
      <c r="D41" s="1789"/>
      <c r="E41" s="1789"/>
      <c r="F41" s="1790"/>
      <c r="G41" s="1001"/>
      <c r="H41" s="1003"/>
      <c r="I41" s="1003"/>
      <c r="J41" s="1002"/>
      <c r="K41" s="1001"/>
      <c r="L41" s="1001"/>
      <c r="M41" s="1001"/>
    </row>
    <row r="42" spans="1:13" ht="15.75" thickBot="1">
      <c r="A42" s="1784"/>
      <c r="B42" s="1791"/>
      <c r="C42" s="1792"/>
      <c r="D42" s="1792"/>
      <c r="E42" s="1792"/>
      <c r="F42" s="1793"/>
      <c r="G42" s="1000"/>
      <c r="H42" s="1797" t="s">
        <v>1329</v>
      </c>
      <c r="I42" s="1798"/>
      <c r="J42" s="1798"/>
      <c r="K42" s="1799"/>
      <c r="L42" s="999"/>
      <c r="M42" s="998"/>
    </row>
    <row r="43" spans="1:13" ht="15">
      <c r="A43" s="730">
        <v>16</v>
      </c>
      <c r="B43" s="1778" t="s">
        <v>1328</v>
      </c>
      <c r="C43" s="1779"/>
      <c r="D43" s="1779"/>
      <c r="E43" s="1779"/>
      <c r="F43" s="1780"/>
      <c r="G43" s="997">
        <v>73690</v>
      </c>
      <c r="H43" s="997">
        <v>0</v>
      </c>
      <c r="I43" s="997">
        <v>0</v>
      </c>
      <c r="J43" s="997">
        <v>3407</v>
      </c>
      <c r="K43" s="997">
        <v>0</v>
      </c>
      <c r="L43" s="997">
        <f aca="true" t="shared" si="1" ref="L43:L51">G43+H43+I43+J43+K43</f>
        <v>77097</v>
      </c>
      <c r="M43" s="997">
        <v>85346</v>
      </c>
    </row>
    <row r="44" spans="1:13" ht="15">
      <c r="A44" s="730">
        <v>17</v>
      </c>
      <c r="B44" s="1778" t="s">
        <v>1327</v>
      </c>
      <c r="C44" s="1779"/>
      <c r="D44" s="1779"/>
      <c r="E44" s="1779"/>
      <c r="F44" s="1780"/>
      <c r="G44" s="997">
        <v>258563</v>
      </c>
      <c r="H44" s="997">
        <v>0</v>
      </c>
      <c r="I44" s="997">
        <v>0</v>
      </c>
      <c r="J44" s="997">
        <v>-8850</v>
      </c>
      <c r="K44" s="997">
        <v>0</v>
      </c>
      <c r="L44" s="997">
        <f t="shared" si="1"/>
        <v>249713</v>
      </c>
      <c r="M44" s="997">
        <v>205904</v>
      </c>
    </row>
    <row r="45" spans="1:13" ht="15">
      <c r="A45" s="730">
        <v>18</v>
      </c>
      <c r="B45" s="1778" t="s">
        <v>1326</v>
      </c>
      <c r="C45" s="1779"/>
      <c r="D45" s="1779"/>
      <c r="E45" s="1779"/>
      <c r="F45" s="1780"/>
      <c r="G45" s="997">
        <v>25199</v>
      </c>
      <c r="H45" s="997">
        <v>0</v>
      </c>
      <c r="I45" s="997">
        <v>0</v>
      </c>
      <c r="J45" s="997">
        <v>13290</v>
      </c>
      <c r="K45" s="997"/>
      <c r="L45" s="997">
        <f t="shared" si="1"/>
        <v>38489</v>
      </c>
      <c r="M45" s="997">
        <v>41362</v>
      </c>
    </row>
    <row r="46" spans="1:13" ht="15">
      <c r="A46" s="730">
        <v>19</v>
      </c>
      <c r="B46" s="1778" t="s">
        <v>1325</v>
      </c>
      <c r="C46" s="1779"/>
      <c r="D46" s="1779"/>
      <c r="E46" s="1779"/>
      <c r="F46" s="1780"/>
      <c r="G46" s="997">
        <v>170529</v>
      </c>
      <c r="H46" s="997">
        <v>0</v>
      </c>
      <c r="I46" s="997">
        <v>59890</v>
      </c>
      <c r="J46" s="997">
        <v>0</v>
      </c>
      <c r="K46" s="997">
        <v>0</v>
      </c>
      <c r="L46" s="997">
        <f t="shared" si="1"/>
        <v>230419</v>
      </c>
      <c r="M46" s="997">
        <v>210419</v>
      </c>
    </row>
    <row r="47" spans="1:13" ht="15">
      <c r="A47" s="730">
        <v>20</v>
      </c>
      <c r="B47" s="1778" t="s">
        <v>1324</v>
      </c>
      <c r="C47" s="1779"/>
      <c r="D47" s="1779"/>
      <c r="E47" s="1779"/>
      <c r="F47" s="1780"/>
      <c r="G47" s="997">
        <v>17117</v>
      </c>
      <c r="H47" s="997">
        <v>0</v>
      </c>
      <c r="I47" s="997">
        <v>0</v>
      </c>
      <c r="J47" s="997">
        <v>0</v>
      </c>
      <c r="K47" s="997">
        <v>0</v>
      </c>
      <c r="L47" s="997">
        <f t="shared" si="1"/>
        <v>17117</v>
      </c>
      <c r="M47" s="997">
        <v>4560</v>
      </c>
    </row>
    <row r="48" spans="1:13" ht="15">
      <c r="A48" s="730">
        <v>21</v>
      </c>
      <c r="B48" s="1778" t="s">
        <v>1323</v>
      </c>
      <c r="C48" s="1779"/>
      <c r="D48" s="1779"/>
      <c r="E48" s="1779"/>
      <c r="F48" s="1780"/>
      <c r="G48" s="997">
        <v>0</v>
      </c>
      <c r="H48" s="997">
        <v>0</v>
      </c>
      <c r="I48" s="997">
        <v>0</v>
      </c>
      <c r="J48" s="997">
        <v>13387</v>
      </c>
      <c r="K48" s="997">
        <v>0</v>
      </c>
      <c r="L48" s="997">
        <f t="shared" si="1"/>
        <v>13387</v>
      </c>
      <c r="M48" s="997">
        <v>13387</v>
      </c>
    </row>
    <row r="49" spans="1:13" ht="15">
      <c r="A49" s="730">
        <v>22</v>
      </c>
      <c r="B49" s="1775" t="s">
        <v>1322</v>
      </c>
      <c r="C49" s="1776"/>
      <c r="D49" s="1776"/>
      <c r="E49" s="1776"/>
      <c r="F49" s="1777"/>
      <c r="G49" s="997">
        <v>600</v>
      </c>
      <c r="H49" s="997">
        <v>0</v>
      </c>
      <c r="I49" s="997">
        <v>0</v>
      </c>
      <c r="J49" s="997">
        <v>0</v>
      </c>
      <c r="K49" s="997">
        <v>0</v>
      </c>
      <c r="L49" s="997">
        <f t="shared" si="1"/>
        <v>600</v>
      </c>
      <c r="M49" s="997">
        <v>717</v>
      </c>
    </row>
    <row r="50" spans="1:13" ht="15">
      <c r="A50" s="730">
        <v>23</v>
      </c>
      <c r="B50" s="1778" t="s">
        <v>1321</v>
      </c>
      <c r="C50" s="1779"/>
      <c r="D50" s="1779"/>
      <c r="E50" s="1779"/>
      <c r="F50" s="1780"/>
      <c r="G50" s="997">
        <v>432134</v>
      </c>
      <c r="H50" s="997">
        <v>0</v>
      </c>
      <c r="I50" s="997">
        <v>0</v>
      </c>
      <c r="J50" s="997">
        <v>61627</v>
      </c>
      <c r="K50" s="997">
        <v>0</v>
      </c>
      <c r="L50" s="997">
        <f t="shared" si="1"/>
        <v>493761</v>
      </c>
      <c r="M50" s="997">
        <v>3748</v>
      </c>
    </row>
    <row r="51" spans="1:13" ht="15">
      <c r="A51" s="730">
        <v>24</v>
      </c>
      <c r="B51" s="1775" t="s">
        <v>1320</v>
      </c>
      <c r="C51" s="1776"/>
      <c r="D51" s="1776"/>
      <c r="E51" s="1776"/>
      <c r="F51" s="1777"/>
      <c r="G51" s="997">
        <v>0</v>
      </c>
      <c r="H51" s="997">
        <v>0</v>
      </c>
      <c r="I51" s="997">
        <v>0</v>
      </c>
      <c r="J51" s="997">
        <v>0</v>
      </c>
      <c r="K51" s="997">
        <v>0</v>
      </c>
      <c r="L51" s="997">
        <f t="shared" si="1"/>
        <v>0</v>
      </c>
      <c r="M51" s="997">
        <v>-20</v>
      </c>
    </row>
    <row r="52" spans="1:13" ht="15.75" thickBot="1">
      <c r="A52" s="730">
        <v>25</v>
      </c>
      <c r="B52" s="1807" t="s">
        <v>1319</v>
      </c>
      <c r="C52" s="1808"/>
      <c r="D52" s="1808"/>
      <c r="E52" s="1808"/>
      <c r="F52" s="1809"/>
      <c r="G52" s="995">
        <v>0</v>
      </c>
      <c r="H52" s="995">
        <v>0</v>
      </c>
      <c r="I52" s="995">
        <v>0</v>
      </c>
      <c r="J52" s="995">
        <v>0</v>
      </c>
      <c r="K52" s="995">
        <v>0</v>
      </c>
      <c r="L52" s="996">
        <v>0</v>
      </c>
      <c r="M52" s="995">
        <v>-20</v>
      </c>
    </row>
    <row r="53" spans="1:13" ht="15.75" thickBot="1">
      <c r="A53" s="994">
        <v>26</v>
      </c>
      <c r="B53" s="1800" t="s">
        <v>1318</v>
      </c>
      <c r="C53" s="1801"/>
      <c r="D53" s="1801"/>
      <c r="E53" s="1801"/>
      <c r="F53" s="1802"/>
      <c r="G53" s="993">
        <f>SUM(G43:G52)</f>
        <v>977832</v>
      </c>
      <c r="H53" s="993">
        <f>SUM(H43:H52)</f>
        <v>0</v>
      </c>
      <c r="I53" s="993">
        <f>SUM(I43:I52)</f>
        <v>59890</v>
      </c>
      <c r="J53" s="993">
        <f>SUM(J43:J52)</f>
        <v>82861</v>
      </c>
      <c r="K53" s="993">
        <f>SUM(K43:K52)</f>
        <v>0</v>
      </c>
      <c r="L53" s="993">
        <f>G53+H53+I53+J53+K53</f>
        <v>1120583</v>
      </c>
      <c r="M53" s="992">
        <f>SUM(M43:M52)</f>
        <v>565403</v>
      </c>
    </row>
    <row r="55" ht="15">
      <c r="N55" s="991"/>
    </row>
  </sheetData>
  <sheetProtection/>
  <mergeCells count="42">
    <mergeCell ref="B53:F53"/>
    <mergeCell ref="B13:F13"/>
    <mergeCell ref="B14:F14"/>
    <mergeCell ref="B17:F17"/>
    <mergeCell ref="B18:F18"/>
    <mergeCell ref="B48:F48"/>
    <mergeCell ref="B52:F52"/>
    <mergeCell ref="B47:F47"/>
    <mergeCell ref="B46:F46"/>
    <mergeCell ref="B15:F15"/>
    <mergeCell ref="A6:A10"/>
    <mergeCell ref="B7:F10"/>
    <mergeCell ref="B11:F11"/>
    <mergeCell ref="H10:K10"/>
    <mergeCell ref="B4:M4"/>
    <mergeCell ref="B50:F50"/>
    <mergeCell ref="B12:F12"/>
    <mergeCell ref="B16:F16"/>
    <mergeCell ref="B19:F19"/>
    <mergeCell ref="B24:F24"/>
    <mergeCell ref="B6:F6"/>
    <mergeCell ref="H7:K7"/>
    <mergeCell ref="B20:F20"/>
    <mergeCell ref="B21:F21"/>
    <mergeCell ref="B2:M2"/>
    <mergeCell ref="B3:M3"/>
    <mergeCell ref="B22:F22"/>
    <mergeCell ref="B23:F23"/>
    <mergeCell ref="A38:A42"/>
    <mergeCell ref="B38:F38"/>
    <mergeCell ref="B39:F42"/>
    <mergeCell ref="H39:K39"/>
    <mergeCell ref="H42:K42"/>
    <mergeCell ref="B25:F25"/>
    <mergeCell ref="B49:F49"/>
    <mergeCell ref="B51:F51"/>
    <mergeCell ref="B45:F45"/>
    <mergeCell ref="B34:L34"/>
    <mergeCell ref="B33:L33"/>
    <mergeCell ref="B35:L35"/>
    <mergeCell ref="B43:F43"/>
    <mergeCell ref="B44: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28125" style="0" customWidth="1"/>
    <col min="2" max="2" width="42.421875" style="0" customWidth="1"/>
    <col min="3" max="3" width="4.421875" style="0" customWidth="1"/>
    <col min="4" max="4" width="11.7109375" style="0" customWidth="1"/>
    <col min="5" max="5" width="12.57421875" style="0" customWidth="1"/>
    <col min="6" max="6" width="12.28125" style="0" customWidth="1"/>
  </cols>
  <sheetData>
    <row r="1" spans="1:5" ht="12.75">
      <c r="A1" s="1812"/>
      <c r="B1" s="1812"/>
      <c r="C1" s="1812"/>
      <c r="D1" s="1812"/>
      <c r="E1" s="1812"/>
    </row>
    <row r="3" s="1810" customFormat="1" ht="12">
      <c r="A3" s="1810" t="s">
        <v>1374</v>
      </c>
    </row>
    <row r="4" s="1810" customFormat="1" ht="12">
      <c r="A4" s="1810" t="s">
        <v>1373</v>
      </c>
    </row>
    <row r="5" s="1811" customFormat="1" ht="12">
      <c r="A5" s="1811" t="s">
        <v>1372</v>
      </c>
    </row>
    <row r="7" spans="1:5" s="245" customFormat="1" ht="12.75" customHeight="1">
      <c r="A7"/>
      <c r="B7"/>
      <c r="C7"/>
      <c r="D7"/>
      <c r="E7"/>
    </row>
    <row r="9" spans="1:6" ht="13.5" thickBot="1">
      <c r="A9" s="725"/>
      <c r="B9" s="725"/>
      <c r="C9" s="1035"/>
      <c r="D9" s="725"/>
      <c r="E9" s="850"/>
      <c r="F9" s="787" t="s">
        <v>4</v>
      </c>
    </row>
    <row r="10" spans="1:7" ht="13.5" thickBot="1">
      <c r="A10" s="378"/>
      <c r="B10" s="101" t="s">
        <v>41</v>
      </c>
      <c r="C10" s="101" t="s">
        <v>27</v>
      </c>
      <c r="D10" s="43" t="s">
        <v>28</v>
      </c>
      <c r="E10" s="102" t="s">
        <v>29</v>
      </c>
      <c r="F10" s="43" t="s">
        <v>30</v>
      </c>
      <c r="G10" s="169"/>
    </row>
    <row r="11" spans="1:6" ht="12.75">
      <c r="A11" s="1034"/>
      <c r="B11" s="1033" t="s">
        <v>1371</v>
      </c>
      <c r="C11" s="1032" t="s">
        <v>466</v>
      </c>
      <c r="D11" s="1032" t="s">
        <v>1337</v>
      </c>
      <c r="E11" s="1032" t="s">
        <v>1335</v>
      </c>
      <c r="F11" s="1031" t="s">
        <v>1334</v>
      </c>
    </row>
    <row r="12" spans="1:9" ht="13.5" thickBot="1">
      <c r="A12" s="805"/>
      <c r="B12" s="1030"/>
      <c r="C12" s="986"/>
      <c r="D12" s="986" t="s">
        <v>3</v>
      </c>
      <c r="E12" s="986" t="s">
        <v>3</v>
      </c>
      <c r="F12" s="1029"/>
      <c r="I12" s="1"/>
    </row>
    <row r="13" spans="1:6" ht="12.75">
      <c r="A13" s="1028">
        <v>1</v>
      </c>
      <c r="B13" s="1027" t="s">
        <v>1370</v>
      </c>
      <c r="C13" s="1026">
        <v>4</v>
      </c>
      <c r="D13" s="1025">
        <v>2500</v>
      </c>
      <c r="E13" s="1025">
        <v>2000</v>
      </c>
      <c r="F13" s="1024">
        <v>1248</v>
      </c>
    </row>
    <row r="14" spans="1:6" ht="12.75">
      <c r="A14" s="654">
        <v>2</v>
      </c>
      <c r="B14" s="658" t="s">
        <v>1369</v>
      </c>
      <c r="C14" s="1021">
        <v>1</v>
      </c>
      <c r="D14" s="745">
        <v>0</v>
      </c>
      <c r="E14" s="745">
        <v>500</v>
      </c>
      <c r="F14" s="74">
        <v>274</v>
      </c>
    </row>
    <row r="15" spans="1:6" ht="12.75">
      <c r="A15" s="654">
        <v>3</v>
      </c>
      <c r="B15" s="658" t="s">
        <v>101</v>
      </c>
      <c r="C15" s="1021">
        <v>6</v>
      </c>
      <c r="D15" s="745">
        <v>0</v>
      </c>
      <c r="E15" s="745">
        <v>0</v>
      </c>
      <c r="F15" s="74">
        <v>1175</v>
      </c>
    </row>
    <row r="16" spans="1:6" ht="12.75">
      <c r="A16" s="654">
        <v>4</v>
      </c>
      <c r="B16" s="658" t="s">
        <v>1368</v>
      </c>
      <c r="C16" s="1021">
        <v>4</v>
      </c>
      <c r="D16" s="745">
        <v>250</v>
      </c>
      <c r="E16" s="745">
        <v>250</v>
      </c>
      <c r="F16" s="74">
        <v>231</v>
      </c>
    </row>
    <row r="17" spans="1:6" ht="12.75">
      <c r="A17" s="654">
        <v>5</v>
      </c>
      <c r="B17" s="658" t="s">
        <v>1367</v>
      </c>
      <c r="C17" s="1021">
        <v>139</v>
      </c>
      <c r="D17" s="745">
        <v>0</v>
      </c>
      <c r="E17" s="745">
        <v>1607</v>
      </c>
      <c r="F17" s="74">
        <v>1607</v>
      </c>
    </row>
    <row r="18" spans="1:6" ht="12.75">
      <c r="A18" s="654">
        <v>6</v>
      </c>
      <c r="B18" s="658" t="s">
        <v>1366</v>
      </c>
      <c r="C18" s="1021">
        <v>21</v>
      </c>
      <c r="D18" s="745">
        <v>9405</v>
      </c>
      <c r="E18" s="745">
        <v>9405</v>
      </c>
      <c r="F18" s="74">
        <v>8802</v>
      </c>
    </row>
    <row r="19" spans="1:6" ht="12.75">
      <c r="A19" s="654">
        <v>7</v>
      </c>
      <c r="B19" s="658" t="s">
        <v>1365</v>
      </c>
      <c r="C19" s="1021">
        <v>12</v>
      </c>
      <c r="D19" s="745">
        <v>3283</v>
      </c>
      <c r="E19" s="745">
        <v>3283</v>
      </c>
      <c r="F19" s="74">
        <v>3004</v>
      </c>
    </row>
    <row r="20" spans="1:6" ht="12.75">
      <c r="A20" s="654">
        <v>8</v>
      </c>
      <c r="B20" s="658" t="s">
        <v>1364</v>
      </c>
      <c r="C20" s="1021">
        <v>101</v>
      </c>
      <c r="D20" s="745">
        <v>600</v>
      </c>
      <c r="E20" s="745">
        <v>600</v>
      </c>
      <c r="F20" s="74">
        <v>905</v>
      </c>
    </row>
    <row r="21" spans="1:6" ht="12.75">
      <c r="A21" s="654">
        <v>9</v>
      </c>
      <c r="B21" s="658" t="s">
        <v>91</v>
      </c>
      <c r="C21" s="1021">
        <v>20</v>
      </c>
      <c r="D21" s="745">
        <v>350</v>
      </c>
      <c r="E21" s="745">
        <v>350</v>
      </c>
      <c r="F21" s="74">
        <v>401</v>
      </c>
    </row>
    <row r="22" spans="1:6" ht="12.75">
      <c r="A22" s="1022">
        <v>10</v>
      </c>
      <c r="B22" s="658" t="s">
        <v>92</v>
      </c>
      <c r="C22" s="1021">
        <v>1</v>
      </c>
      <c r="D22" s="745">
        <v>400</v>
      </c>
      <c r="E22" s="745">
        <v>400</v>
      </c>
      <c r="F22" s="74">
        <v>148</v>
      </c>
    </row>
    <row r="23" spans="1:6" ht="12.75">
      <c r="A23" s="1023">
        <v>11</v>
      </c>
      <c r="B23" s="658" t="s">
        <v>1363</v>
      </c>
      <c r="C23" s="1021">
        <v>26</v>
      </c>
      <c r="D23" s="745">
        <v>900</v>
      </c>
      <c r="E23" s="745">
        <v>900</v>
      </c>
      <c r="F23" s="74">
        <v>541</v>
      </c>
    </row>
    <row r="24" spans="1:6" ht="12.75">
      <c r="A24" s="654">
        <v>12</v>
      </c>
      <c r="B24" s="658" t="s">
        <v>1362</v>
      </c>
      <c r="C24" s="1021">
        <v>142</v>
      </c>
      <c r="D24" s="745">
        <v>0</v>
      </c>
      <c r="E24" s="745">
        <v>600</v>
      </c>
      <c r="F24" s="74">
        <v>571</v>
      </c>
    </row>
    <row r="25" spans="1:6" ht="12.75">
      <c r="A25" s="654">
        <v>13</v>
      </c>
      <c r="B25" s="658" t="s">
        <v>1361</v>
      </c>
      <c r="C25" s="1021"/>
      <c r="D25" s="745">
        <v>600</v>
      </c>
      <c r="E25" s="745">
        <v>0</v>
      </c>
      <c r="F25" s="74">
        <v>0</v>
      </c>
    </row>
    <row r="26" spans="1:6" ht="12.75">
      <c r="A26" s="654">
        <v>14</v>
      </c>
      <c r="B26" s="658" t="s">
        <v>93</v>
      </c>
      <c r="C26" s="1021">
        <v>27</v>
      </c>
      <c r="D26" s="745">
        <v>0</v>
      </c>
      <c r="E26" s="745">
        <v>300</v>
      </c>
      <c r="F26" s="74">
        <v>324</v>
      </c>
    </row>
    <row r="27" spans="1:6" ht="12.75">
      <c r="A27" s="654">
        <v>15</v>
      </c>
      <c r="B27" s="658" t="s">
        <v>1360</v>
      </c>
      <c r="C27" s="1021"/>
      <c r="D27" s="745">
        <v>300</v>
      </c>
      <c r="E27" s="745">
        <v>0</v>
      </c>
      <c r="F27" s="74">
        <v>0</v>
      </c>
    </row>
    <row r="28" spans="1:6" ht="12.75">
      <c r="A28" s="1022">
        <v>16</v>
      </c>
      <c r="B28" s="658" t="s">
        <v>95</v>
      </c>
      <c r="C28" s="1021">
        <v>1</v>
      </c>
      <c r="D28" s="745">
        <v>250</v>
      </c>
      <c r="E28" s="745">
        <v>250</v>
      </c>
      <c r="F28" s="74">
        <v>222</v>
      </c>
    </row>
    <row r="29" spans="1:6" ht="13.5" thickBot="1">
      <c r="A29" s="653">
        <v>17</v>
      </c>
      <c r="B29" s="1020" t="s">
        <v>1359</v>
      </c>
      <c r="C29" s="1019">
        <f>SUM(C13:C28)</f>
        <v>505</v>
      </c>
      <c r="D29" s="1018">
        <f>SUM(D13:D28)</f>
        <v>18838</v>
      </c>
      <c r="E29" s="1018">
        <f>SUM(E13:E28)</f>
        <v>20445</v>
      </c>
      <c r="F29" s="1017">
        <f>SUM(F13:F28)</f>
        <v>19453</v>
      </c>
    </row>
    <row r="30" ht="12.75">
      <c r="A30" s="562"/>
    </row>
    <row r="31" ht="12.75">
      <c r="A31" s="562"/>
    </row>
    <row r="32" ht="12.75">
      <c r="A32" s="562"/>
    </row>
    <row r="33" ht="12.75">
      <c r="A33" s="562"/>
    </row>
    <row r="34" ht="12.75">
      <c r="A34" s="562"/>
    </row>
    <row r="35" ht="12.75">
      <c r="A35" s="562"/>
    </row>
    <row r="36" ht="12.75">
      <c r="A36" s="562"/>
    </row>
    <row r="37" ht="12.75">
      <c r="A37" s="562"/>
    </row>
  </sheetData>
  <sheetProtection/>
  <mergeCells count="4">
    <mergeCell ref="A3:IV3"/>
    <mergeCell ref="A4:IV4"/>
    <mergeCell ref="A5:IV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6" sqref="I26:J26"/>
    </sheetView>
  </sheetViews>
  <sheetFormatPr defaultColWidth="9.140625" defaultRowHeight="12.75"/>
  <cols>
    <col min="1" max="1" width="4.7109375" style="0" customWidth="1"/>
    <col min="7" max="7" width="12.28125" style="0" customWidth="1"/>
    <col min="8" max="8" width="13.8515625" style="0" customWidth="1"/>
  </cols>
  <sheetData>
    <row r="1" spans="7:10" ht="12.75">
      <c r="G1" s="1096"/>
      <c r="H1" s="1096"/>
      <c r="I1" s="1096"/>
      <c r="J1" s="245"/>
    </row>
    <row r="3" spans="2:10" ht="12.75">
      <c r="B3" s="1097" t="s">
        <v>1391</v>
      </c>
      <c r="C3" s="1097"/>
      <c r="D3" s="1097"/>
      <c r="E3" s="1097"/>
      <c r="F3" s="1097"/>
      <c r="G3" s="1097"/>
      <c r="H3" s="1097"/>
      <c r="I3" s="1097"/>
      <c r="J3" s="1097"/>
    </row>
    <row r="4" spans="2:10" ht="12.75">
      <c r="B4" s="1236" t="s">
        <v>1390</v>
      </c>
      <c r="C4" s="1158"/>
      <c r="D4" s="1158"/>
      <c r="E4" s="1158"/>
      <c r="F4" s="1158"/>
      <c r="G4" s="1158"/>
      <c r="H4" s="1158"/>
      <c r="I4" s="1158"/>
      <c r="J4" s="1158"/>
    </row>
    <row r="5" spans="2:10" ht="12.75">
      <c r="B5" s="1236" t="s">
        <v>1389</v>
      </c>
      <c r="C5" s="1158"/>
      <c r="D5" s="1158"/>
      <c r="E5" s="1158"/>
      <c r="F5" s="1158"/>
      <c r="G5" s="1158"/>
      <c r="H5" s="1158"/>
      <c r="I5" s="1158"/>
      <c r="J5" s="1158"/>
    </row>
    <row r="6" spans="2:10" ht="12.75">
      <c r="B6" s="37"/>
      <c r="C6" s="37"/>
      <c r="D6" s="37"/>
      <c r="E6" s="37"/>
      <c r="F6" s="37"/>
      <c r="G6" s="37"/>
      <c r="H6" s="37"/>
      <c r="I6" s="37"/>
      <c r="J6" s="37"/>
    </row>
    <row r="7" spans="2:10" ht="12.75">
      <c r="B7" s="37"/>
      <c r="C7" s="37"/>
      <c r="D7" s="37"/>
      <c r="E7" s="37"/>
      <c r="F7" s="37"/>
      <c r="G7" s="37"/>
      <c r="H7" s="37"/>
      <c r="I7" s="37"/>
      <c r="J7" s="37"/>
    </row>
    <row r="8" spans="2:10" ht="12.75">
      <c r="B8" s="37"/>
      <c r="C8" s="37"/>
      <c r="D8" s="37"/>
      <c r="E8" s="37"/>
      <c r="F8" s="726"/>
      <c r="G8" s="37"/>
      <c r="H8" s="37"/>
      <c r="I8" s="37"/>
      <c r="J8" s="37"/>
    </row>
    <row r="9" spans="2:10" ht="12.75">
      <c r="B9" s="37"/>
      <c r="C9" s="37"/>
      <c r="D9" s="37"/>
      <c r="E9" s="37"/>
      <c r="F9" s="37"/>
      <c r="G9" s="37"/>
      <c r="H9" s="37"/>
      <c r="I9" s="37"/>
      <c r="J9" s="37"/>
    </row>
    <row r="10" ht="12.75">
      <c r="I10" s="154" t="s">
        <v>1388</v>
      </c>
    </row>
    <row r="11" spans="1:9" ht="12.75">
      <c r="A11" s="1174"/>
      <c r="B11" s="1195" t="s">
        <v>41</v>
      </c>
      <c r="C11" s="1195"/>
      <c r="D11" s="1195"/>
      <c r="E11" s="1195"/>
      <c r="F11" s="1196"/>
      <c r="G11" s="110" t="s">
        <v>27</v>
      </c>
      <c r="H11" s="208" t="s">
        <v>28</v>
      </c>
      <c r="I11" s="110" t="s">
        <v>29</v>
      </c>
    </row>
    <row r="12" spans="1:9" ht="39" thickBot="1">
      <c r="A12" s="1176"/>
      <c r="B12" s="1824" t="s">
        <v>1387</v>
      </c>
      <c r="C12" s="1824"/>
      <c r="D12" s="1824"/>
      <c r="E12" s="1824"/>
      <c r="F12" s="1825"/>
      <c r="G12" s="1040" t="s">
        <v>1386</v>
      </c>
      <c r="H12" s="1039" t="s">
        <v>1385</v>
      </c>
      <c r="I12" s="631" t="s">
        <v>963</v>
      </c>
    </row>
    <row r="13" spans="1:9" ht="12.75">
      <c r="A13" s="110">
        <v>1</v>
      </c>
      <c r="B13" s="1826" t="s">
        <v>954</v>
      </c>
      <c r="C13" s="1827"/>
      <c r="D13" s="1827"/>
      <c r="E13" s="1827"/>
      <c r="F13" s="1827"/>
      <c r="G13" s="1025">
        <v>19</v>
      </c>
      <c r="H13" s="1025">
        <v>19</v>
      </c>
      <c r="I13" s="1024">
        <v>0</v>
      </c>
    </row>
    <row r="14" spans="1:9" ht="12.75">
      <c r="A14" s="110">
        <v>2</v>
      </c>
      <c r="B14" s="1820" t="s">
        <v>1384</v>
      </c>
      <c r="C14" s="1821"/>
      <c r="D14" s="1821"/>
      <c r="E14" s="1821"/>
      <c r="F14" s="1821"/>
      <c r="G14" s="745">
        <v>6</v>
      </c>
      <c r="H14" s="745">
        <v>6</v>
      </c>
      <c r="I14" s="74">
        <v>0</v>
      </c>
    </row>
    <row r="15" spans="1:9" ht="12.75">
      <c r="A15" s="110">
        <v>3</v>
      </c>
      <c r="B15" s="1820" t="s">
        <v>1383</v>
      </c>
      <c r="C15" s="1821"/>
      <c r="D15" s="1821"/>
      <c r="E15" s="1821"/>
      <c r="F15" s="1821"/>
      <c r="G15" s="745">
        <v>33</v>
      </c>
      <c r="H15" s="745">
        <v>32</v>
      </c>
      <c r="I15" s="74">
        <v>1</v>
      </c>
    </row>
    <row r="16" spans="1:9" ht="12.75">
      <c r="A16" s="110">
        <v>4</v>
      </c>
      <c r="B16" s="1820" t="s">
        <v>950</v>
      </c>
      <c r="C16" s="1821"/>
      <c r="D16" s="1821"/>
      <c r="E16" s="1821"/>
      <c r="F16" s="1821"/>
      <c r="G16" s="745">
        <v>8</v>
      </c>
      <c r="H16" s="745">
        <v>8</v>
      </c>
      <c r="I16" s="1038"/>
    </row>
    <row r="17" spans="1:9" ht="12.75">
      <c r="A17" s="110">
        <v>5</v>
      </c>
      <c r="B17" s="1636" t="s">
        <v>1382</v>
      </c>
      <c r="C17" s="1815"/>
      <c r="D17" s="1815"/>
      <c r="E17" s="1815"/>
      <c r="F17" s="1815"/>
      <c r="G17" s="745">
        <v>22</v>
      </c>
      <c r="H17" s="745">
        <v>20</v>
      </c>
      <c r="I17" s="74">
        <v>2</v>
      </c>
    </row>
    <row r="18" spans="1:9" ht="12.75">
      <c r="A18" s="110">
        <v>6</v>
      </c>
      <c r="B18" s="1820" t="s">
        <v>1381</v>
      </c>
      <c r="C18" s="1821"/>
      <c r="D18" s="1821"/>
      <c r="E18" s="1821"/>
      <c r="F18" s="1821"/>
      <c r="G18" s="745">
        <v>2</v>
      </c>
      <c r="H18" s="745">
        <v>1</v>
      </c>
      <c r="I18" s="74">
        <v>1</v>
      </c>
    </row>
    <row r="19" spans="1:9" ht="13.5" thickBot="1">
      <c r="A19" s="110">
        <v>8</v>
      </c>
      <c r="B19" s="1816" t="s">
        <v>1380</v>
      </c>
      <c r="C19" s="1817"/>
      <c r="D19" s="1817"/>
      <c r="E19" s="1817"/>
      <c r="F19" s="1817"/>
      <c r="G19" s="1037"/>
      <c r="H19" s="1037"/>
      <c r="I19" s="1036"/>
    </row>
    <row r="20" spans="1:9" ht="13.5" thickBot="1">
      <c r="A20" s="110">
        <v>9</v>
      </c>
      <c r="B20" s="1818" t="s">
        <v>1379</v>
      </c>
      <c r="C20" s="1819"/>
      <c r="D20" s="1819"/>
      <c r="E20" s="1819"/>
      <c r="F20" s="1819"/>
      <c r="G20" s="643">
        <f>SUM(G13:G19)</f>
        <v>90</v>
      </c>
      <c r="H20" s="643">
        <f>SUM(H13:H19)</f>
        <v>86</v>
      </c>
      <c r="I20" s="642">
        <f>SUM(I13:I19)</f>
        <v>4</v>
      </c>
    </row>
    <row r="21" spans="1:9" ht="12.75">
      <c r="A21" s="110">
        <v>10</v>
      </c>
      <c r="B21" s="1822" t="s">
        <v>1378</v>
      </c>
      <c r="C21" s="1823"/>
      <c r="D21" s="1823"/>
      <c r="E21" s="1823"/>
      <c r="F21" s="1823"/>
      <c r="G21" s="1025">
        <v>3</v>
      </c>
      <c r="H21" s="1025">
        <v>6</v>
      </c>
      <c r="I21" s="662"/>
    </row>
    <row r="22" spans="1:9" ht="12.75">
      <c r="A22" s="110">
        <v>11</v>
      </c>
      <c r="B22" s="1636" t="s">
        <v>1377</v>
      </c>
      <c r="C22" s="1815"/>
      <c r="D22" s="1815"/>
      <c r="E22" s="1815"/>
      <c r="F22" s="1815"/>
      <c r="G22" s="745">
        <v>2</v>
      </c>
      <c r="H22" s="745">
        <v>0</v>
      </c>
      <c r="I22" s="148"/>
    </row>
    <row r="23" spans="1:9" ht="12.75">
      <c r="A23" s="110">
        <v>12</v>
      </c>
      <c r="B23" s="1636" t="s">
        <v>1376</v>
      </c>
      <c r="C23" s="1815"/>
      <c r="D23" s="1815"/>
      <c r="E23" s="1815"/>
      <c r="F23" s="1815"/>
      <c r="G23" s="255"/>
      <c r="H23" s="255"/>
      <c r="I23" s="148"/>
    </row>
    <row r="24" spans="1:9" ht="13.5" thickBot="1">
      <c r="A24" s="110"/>
      <c r="B24" s="1813" t="s">
        <v>1375</v>
      </c>
      <c r="C24" s="1814"/>
      <c r="D24" s="1814"/>
      <c r="E24" s="1814"/>
      <c r="F24" s="1814"/>
      <c r="G24" s="742">
        <f>SUM(G20:G23)</f>
        <v>95</v>
      </c>
      <c r="H24" s="742">
        <f>SUM(H20:H23)</f>
        <v>92</v>
      </c>
      <c r="I24" s="648"/>
    </row>
  </sheetData>
  <sheetProtection/>
  <mergeCells count="19">
    <mergeCell ref="B3:J3"/>
    <mergeCell ref="B5:J5"/>
    <mergeCell ref="B18:F18"/>
    <mergeCell ref="B16:F16"/>
    <mergeCell ref="G1:I1"/>
    <mergeCell ref="B12:F12"/>
    <mergeCell ref="B13:F13"/>
    <mergeCell ref="B14:F14"/>
    <mergeCell ref="B4:J4"/>
    <mergeCell ref="B11:F11"/>
    <mergeCell ref="A11:A12"/>
    <mergeCell ref="B24:F24"/>
    <mergeCell ref="B22:F22"/>
    <mergeCell ref="B23:F23"/>
    <mergeCell ref="B19:F19"/>
    <mergeCell ref="B20:F20"/>
    <mergeCell ref="B15:F15"/>
    <mergeCell ref="B17:F17"/>
    <mergeCell ref="B21:F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1">
      <selection activeCell="B21" sqref="B21:E21"/>
    </sheetView>
  </sheetViews>
  <sheetFormatPr defaultColWidth="9.140625" defaultRowHeight="12.75"/>
  <cols>
    <col min="1" max="1" width="4.8515625" style="212" customWidth="1"/>
    <col min="2" max="2" width="3.7109375" style="212" customWidth="1"/>
    <col min="3" max="4" width="9.140625" style="212" customWidth="1"/>
    <col min="5" max="5" width="48.00390625" style="212" customWidth="1"/>
    <col min="6" max="6" width="13.8515625" style="212" customWidth="1"/>
    <col min="7" max="7" width="11.28125" style="212" customWidth="1"/>
    <col min="8" max="8" width="13.57421875" style="212" customWidth="1"/>
    <col min="9" max="9" width="11.140625" style="212" customWidth="1"/>
    <col min="10" max="10" width="9.00390625" style="212" customWidth="1"/>
    <col min="11" max="16384" width="9.140625" style="212" customWidth="1"/>
  </cols>
  <sheetData>
    <row r="1" spans="2:10" ht="12.75">
      <c r="B1" s="1219" t="s">
        <v>313</v>
      </c>
      <c r="C1" s="1219"/>
      <c r="D1" s="1219"/>
      <c r="E1" s="1219"/>
      <c r="F1" s="1219"/>
      <c r="G1" s="1219"/>
      <c r="H1" s="1219"/>
      <c r="I1" s="1219"/>
      <c r="J1" s="1219"/>
    </row>
    <row r="2" spans="2:10" ht="12.75">
      <c r="B2" s="1219" t="s">
        <v>312</v>
      </c>
      <c r="C2" s="1219"/>
      <c r="D2" s="1219"/>
      <c r="E2" s="1219"/>
      <c r="F2" s="1219"/>
      <c r="G2" s="1219"/>
      <c r="H2" s="1219"/>
      <c r="I2" s="1219"/>
      <c r="J2" s="1219"/>
    </row>
    <row r="3" spans="2:10" ht="12.75">
      <c r="B3" s="239"/>
      <c r="C3" s="239"/>
      <c r="D3" s="239"/>
      <c r="E3" s="239"/>
      <c r="F3" s="239"/>
      <c r="G3" s="239"/>
      <c r="H3" s="239"/>
      <c r="I3" s="239"/>
      <c r="J3" s="239"/>
    </row>
    <row r="4" spans="2:11" ht="12.75">
      <c r="B4" s="239"/>
      <c r="C4" s="1220" t="s">
        <v>311</v>
      </c>
      <c r="D4" s="1220"/>
      <c r="E4" s="1220"/>
      <c r="F4" s="1220"/>
      <c r="G4" s="1220"/>
      <c r="H4" s="1220"/>
      <c r="I4" s="1220"/>
      <c r="J4" s="1220"/>
      <c r="K4" s="1220"/>
    </row>
    <row r="5" spans="1:17" ht="12.75">
      <c r="A5" s="238"/>
      <c r="B5" s="1222" t="s">
        <v>41</v>
      </c>
      <c r="C5" s="1223"/>
      <c r="D5" s="1223"/>
      <c r="E5" s="1224"/>
      <c r="F5" s="237" t="s">
        <v>27</v>
      </c>
      <c r="G5" s="237" t="s">
        <v>28</v>
      </c>
      <c r="H5" s="237" t="s">
        <v>29</v>
      </c>
      <c r="I5" s="237" t="s">
        <v>30</v>
      </c>
      <c r="Q5" s="236"/>
    </row>
    <row r="6" spans="1:9" ht="12.75" customHeight="1">
      <c r="A6" s="234"/>
      <c r="B6" s="1225" t="s">
        <v>310</v>
      </c>
      <c r="C6" s="1225"/>
      <c r="D6" s="1225"/>
      <c r="E6" s="1225"/>
      <c r="F6" s="235" t="s">
        <v>263</v>
      </c>
      <c r="G6" s="235" t="s">
        <v>1</v>
      </c>
      <c r="H6" s="1211" t="s">
        <v>2</v>
      </c>
      <c r="I6" s="1212"/>
    </row>
    <row r="7" spans="1:9" ht="12.75">
      <c r="A7" s="234"/>
      <c r="B7" s="1226"/>
      <c r="C7" s="1226"/>
      <c r="D7" s="1226"/>
      <c r="E7" s="1226"/>
      <c r="F7" s="1213" t="s">
        <v>3</v>
      </c>
      <c r="G7" s="1213"/>
      <c r="H7" s="233" t="s">
        <v>5</v>
      </c>
      <c r="I7" s="232" t="s">
        <v>21</v>
      </c>
    </row>
    <row r="8" spans="1:9" ht="12.75">
      <c r="A8" s="231">
        <v>1</v>
      </c>
      <c r="B8" s="1221" t="s">
        <v>309</v>
      </c>
      <c r="C8" s="1221"/>
      <c r="D8" s="1221"/>
      <c r="E8" s="1221"/>
      <c r="F8" s="230">
        <f>F21+F22+F23+F24+F25+F26+F27+F28+F29+F30+F31+F32</f>
        <v>62924</v>
      </c>
      <c r="G8" s="230">
        <f>G21+G22+G23+G24+G25+G26+G27+G28+G29+G30+G31+G32</f>
        <v>66206</v>
      </c>
      <c r="H8" s="230">
        <f>H21+H22+H23+H24+H25+H26+H27+H28+H29+H30+H31+H32</f>
        <v>72750</v>
      </c>
      <c r="I8" s="229">
        <v>119.97</v>
      </c>
    </row>
    <row r="9" spans="1:9" ht="12.75" hidden="1">
      <c r="A9" s="228"/>
      <c r="B9" s="1215" t="s">
        <v>308</v>
      </c>
      <c r="C9" s="1215"/>
      <c r="D9" s="1215"/>
      <c r="E9" s="1215"/>
      <c r="F9" s="226"/>
      <c r="G9" s="226"/>
      <c r="H9" s="226"/>
      <c r="I9" s="219" t="e">
        <f aca="true" t="shared" si="0" ref="I9:I27">(H9/G9)*100</f>
        <v>#DIV/0!</v>
      </c>
    </row>
    <row r="10" spans="1:9" ht="12.75" hidden="1">
      <c r="A10" s="227"/>
      <c r="B10" s="1215" t="s">
        <v>307</v>
      </c>
      <c r="C10" s="1215"/>
      <c r="D10" s="1215"/>
      <c r="E10" s="1215"/>
      <c r="F10" s="226"/>
      <c r="G10" s="226"/>
      <c r="H10" s="226"/>
      <c r="I10" s="219" t="e">
        <f t="shared" si="0"/>
        <v>#DIV/0!</v>
      </c>
    </row>
    <row r="11" spans="1:9" ht="12.75" hidden="1">
      <c r="A11" s="227"/>
      <c r="B11" s="1215" t="s">
        <v>306</v>
      </c>
      <c r="C11" s="1215"/>
      <c r="D11" s="1215"/>
      <c r="E11" s="1215"/>
      <c r="F11" s="226"/>
      <c r="G11" s="226"/>
      <c r="H11" s="226"/>
      <c r="I11" s="219" t="e">
        <f t="shared" si="0"/>
        <v>#DIV/0!</v>
      </c>
    </row>
    <row r="12" spans="1:9" ht="12.75" hidden="1">
      <c r="A12" s="227"/>
      <c r="B12" s="1215" t="s">
        <v>305</v>
      </c>
      <c r="C12" s="1215"/>
      <c r="D12" s="1215"/>
      <c r="E12" s="1215"/>
      <c r="F12" s="226"/>
      <c r="G12" s="226"/>
      <c r="H12" s="226"/>
      <c r="I12" s="219" t="e">
        <f t="shared" si="0"/>
        <v>#DIV/0!</v>
      </c>
    </row>
    <row r="13" spans="1:9" ht="12.75" hidden="1">
      <c r="A13" s="227"/>
      <c r="B13" s="1215" t="s">
        <v>304</v>
      </c>
      <c r="C13" s="1215"/>
      <c r="D13" s="1215"/>
      <c r="E13" s="1215"/>
      <c r="F13" s="226"/>
      <c r="G13" s="226"/>
      <c r="H13" s="226"/>
      <c r="I13" s="219" t="e">
        <f t="shared" si="0"/>
        <v>#DIV/0!</v>
      </c>
    </row>
    <row r="14" spans="1:9" ht="12.75" hidden="1">
      <c r="A14" s="227"/>
      <c r="B14" s="1215" t="s">
        <v>303</v>
      </c>
      <c r="C14" s="1215"/>
      <c r="D14" s="1215"/>
      <c r="E14" s="1215"/>
      <c r="F14" s="226"/>
      <c r="G14" s="226"/>
      <c r="H14" s="226"/>
      <c r="I14" s="219" t="e">
        <f t="shared" si="0"/>
        <v>#DIV/0!</v>
      </c>
    </row>
    <row r="15" spans="1:9" ht="12.75" hidden="1">
      <c r="A15" s="227"/>
      <c r="B15" s="1215" t="s">
        <v>302</v>
      </c>
      <c r="C15" s="1215"/>
      <c r="D15" s="1215"/>
      <c r="E15" s="1215"/>
      <c r="F15" s="226"/>
      <c r="G15" s="226"/>
      <c r="H15" s="226"/>
      <c r="I15" s="219" t="e">
        <f t="shared" si="0"/>
        <v>#DIV/0!</v>
      </c>
    </row>
    <row r="16" spans="1:9" ht="12.75" hidden="1">
      <c r="A16" s="227"/>
      <c r="B16" s="1215" t="s">
        <v>301</v>
      </c>
      <c r="C16" s="1215"/>
      <c r="D16" s="1215"/>
      <c r="E16" s="1215"/>
      <c r="F16" s="226"/>
      <c r="G16" s="226"/>
      <c r="H16" s="226"/>
      <c r="I16" s="219" t="e">
        <f t="shared" si="0"/>
        <v>#DIV/0!</v>
      </c>
    </row>
    <row r="17" spans="1:9" ht="12.75" hidden="1">
      <c r="A17" s="227"/>
      <c r="B17" s="1215" t="s">
        <v>300</v>
      </c>
      <c r="C17" s="1215"/>
      <c r="D17" s="1215"/>
      <c r="E17" s="1215"/>
      <c r="F17" s="226"/>
      <c r="G17" s="226"/>
      <c r="H17" s="226"/>
      <c r="I17" s="219" t="e">
        <f t="shared" si="0"/>
        <v>#DIV/0!</v>
      </c>
    </row>
    <row r="18" spans="1:9" ht="12.75" hidden="1">
      <c r="A18" s="227"/>
      <c r="B18" s="1215" t="s">
        <v>299</v>
      </c>
      <c r="C18" s="1215"/>
      <c r="D18" s="1215"/>
      <c r="E18" s="1215"/>
      <c r="F18" s="226"/>
      <c r="G18" s="226"/>
      <c r="H18" s="226"/>
      <c r="I18" s="219" t="e">
        <f t="shared" si="0"/>
        <v>#DIV/0!</v>
      </c>
    </row>
    <row r="19" spans="1:9" ht="12.75" hidden="1">
      <c r="A19" s="227"/>
      <c r="B19" s="1215" t="s">
        <v>298</v>
      </c>
      <c r="C19" s="1215"/>
      <c r="D19" s="1215"/>
      <c r="E19" s="1215"/>
      <c r="F19" s="226"/>
      <c r="G19" s="226"/>
      <c r="H19" s="226"/>
      <c r="I19" s="219" t="e">
        <f t="shared" si="0"/>
        <v>#DIV/0!</v>
      </c>
    </row>
    <row r="20" spans="1:9" ht="12.75" hidden="1">
      <c r="A20" s="227"/>
      <c r="B20" s="1215" t="s">
        <v>297</v>
      </c>
      <c r="C20" s="1215"/>
      <c r="D20" s="1215"/>
      <c r="E20" s="1215"/>
      <c r="F20" s="226"/>
      <c r="G20" s="226"/>
      <c r="H20" s="226"/>
      <c r="I20" s="219" t="e">
        <f t="shared" si="0"/>
        <v>#DIV/0!</v>
      </c>
    </row>
    <row r="21" spans="1:9" ht="12.75">
      <c r="A21" s="221">
        <v>2</v>
      </c>
      <c r="B21" s="1216" t="s">
        <v>296</v>
      </c>
      <c r="C21" s="1217"/>
      <c r="D21" s="1217"/>
      <c r="E21" s="1218"/>
      <c r="F21" s="222">
        <v>310</v>
      </c>
      <c r="G21" s="222">
        <v>310</v>
      </c>
      <c r="H21" s="222">
        <v>171</v>
      </c>
      <c r="I21" s="225">
        <f t="shared" si="0"/>
        <v>55.16129032258065</v>
      </c>
    </row>
    <row r="22" spans="1:9" ht="12.75">
      <c r="A22" s="221">
        <v>3</v>
      </c>
      <c r="B22" s="1216" t="s">
        <v>295</v>
      </c>
      <c r="C22" s="1217"/>
      <c r="D22" s="1217"/>
      <c r="E22" s="1218"/>
      <c r="F22" s="222">
        <v>660</v>
      </c>
      <c r="G22" s="222">
        <v>660</v>
      </c>
      <c r="H22" s="222">
        <v>255</v>
      </c>
      <c r="I22" s="225">
        <f t="shared" si="0"/>
        <v>38.63636363636363</v>
      </c>
    </row>
    <row r="23" spans="1:9" ht="12.75">
      <c r="A23" s="221">
        <v>4</v>
      </c>
      <c r="B23" s="1216" t="s">
        <v>294</v>
      </c>
      <c r="C23" s="1217"/>
      <c r="D23" s="1217"/>
      <c r="E23" s="1218"/>
      <c r="F23" s="222">
        <v>4220</v>
      </c>
      <c r="G23" s="222">
        <v>4220</v>
      </c>
      <c r="H23" s="222">
        <v>4507</v>
      </c>
      <c r="I23" s="225">
        <f t="shared" si="0"/>
        <v>106.80094786729856</v>
      </c>
    </row>
    <row r="24" spans="1:9" ht="12.75">
      <c r="A24" s="221">
        <v>5</v>
      </c>
      <c r="B24" s="1216" t="s">
        <v>293</v>
      </c>
      <c r="C24" s="1217"/>
      <c r="D24" s="1217"/>
      <c r="E24" s="1218"/>
      <c r="F24" s="222">
        <v>1950</v>
      </c>
      <c r="G24" s="222">
        <v>1950</v>
      </c>
      <c r="H24" s="222">
        <v>921</v>
      </c>
      <c r="I24" s="225">
        <f t="shared" si="0"/>
        <v>47.23076923076923</v>
      </c>
    </row>
    <row r="25" spans="1:9" ht="12.75">
      <c r="A25" s="221">
        <v>6</v>
      </c>
      <c r="B25" s="1216" t="s">
        <v>292</v>
      </c>
      <c r="C25" s="1217"/>
      <c r="D25" s="1217"/>
      <c r="E25" s="1218"/>
      <c r="F25" s="222">
        <v>3160</v>
      </c>
      <c r="G25" s="222">
        <v>3160</v>
      </c>
      <c r="H25" s="222">
        <v>2811</v>
      </c>
      <c r="I25" s="225">
        <f t="shared" si="0"/>
        <v>88.95569620253164</v>
      </c>
    </row>
    <row r="26" spans="1:9" ht="12.75">
      <c r="A26" s="221">
        <v>7</v>
      </c>
      <c r="B26" s="1216" t="s">
        <v>291</v>
      </c>
      <c r="C26" s="1217"/>
      <c r="D26" s="1217"/>
      <c r="E26" s="1218"/>
      <c r="F26" s="222">
        <v>1000</v>
      </c>
      <c r="G26" s="222">
        <v>1000</v>
      </c>
      <c r="H26" s="222">
        <v>220</v>
      </c>
      <c r="I26" s="225">
        <f t="shared" si="0"/>
        <v>22</v>
      </c>
    </row>
    <row r="27" spans="1:9" ht="12.75">
      <c r="A27" s="221">
        <v>8</v>
      </c>
      <c r="B27" s="1216" t="s">
        <v>290</v>
      </c>
      <c r="C27" s="1217"/>
      <c r="D27" s="1217"/>
      <c r="E27" s="1218"/>
      <c r="F27" s="222">
        <v>32000</v>
      </c>
      <c r="G27" s="222">
        <v>32000</v>
      </c>
      <c r="H27" s="222">
        <v>44042</v>
      </c>
      <c r="I27" s="225">
        <f t="shared" si="0"/>
        <v>137.63125</v>
      </c>
    </row>
    <row r="28" spans="1:9" ht="12.75">
      <c r="A28" s="221">
        <v>9</v>
      </c>
      <c r="B28" s="1216" t="s">
        <v>289</v>
      </c>
      <c r="C28" s="1217"/>
      <c r="D28" s="1217"/>
      <c r="E28" s="1218"/>
      <c r="F28" s="222">
        <v>0</v>
      </c>
      <c r="G28" s="222">
        <v>0</v>
      </c>
      <c r="H28" s="222">
        <v>0</v>
      </c>
      <c r="I28" s="225">
        <v>0</v>
      </c>
    </row>
    <row r="29" spans="1:9" ht="13.5" customHeight="1">
      <c r="A29" s="221">
        <v>10</v>
      </c>
      <c r="B29" s="1227" t="s">
        <v>288</v>
      </c>
      <c r="C29" s="1228"/>
      <c r="D29" s="1228"/>
      <c r="E29" s="1229"/>
      <c r="F29" s="222">
        <v>0</v>
      </c>
      <c r="G29" s="222">
        <v>2906</v>
      </c>
      <c r="H29" s="222">
        <v>3039</v>
      </c>
      <c r="I29" s="225">
        <f aca="true" t="shared" si="1" ref="I29:I46">(H29/G29)*100</f>
        <v>104.57673778389538</v>
      </c>
    </row>
    <row r="30" spans="1:9" ht="12.75">
      <c r="A30" s="221">
        <v>11</v>
      </c>
      <c r="B30" s="1216" t="s">
        <v>287</v>
      </c>
      <c r="C30" s="1217"/>
      <c r="D30" s="1217"/>
      <c r="E30" s="1218"/>
      <c r="F30" s="222">
        <v>4000</v>
      </c>
      <c r="G30" s="222">
        <v>4376</v>
      </c>
      <c r="H30" s="222">
        <v>2372</v>
      </c>
      <c r="I30" s="225">
        <f t="shared" si="1"/>
        <v>54.20475319926874</v>
      </c>
    </row>
    <row r="31" spans="1:9" ht="12.75">
      <c r="A31" s="221">
        <v>12</v>
      </c>
      <c r="B31" s="1216" t="s">
        <v>286</v>
      </c>
      <c r="C31" s="1217"/>
      <c r="D31" s="1217"/>
      <c r="E31" s="1218"/>
      <c r="F31" s="222">
        <v>2624</v>
      </c>
      <c r="G31" s="222">
        <v>2624</v>
      </c>
      <c r="H31" s="222">
        <v>1574</v>
      </c>
      <c r="I31" s="225">
        <f t="shared" si="1"/>
        <v>59.984756097560975</v>
      </c>
    </row>
    <row r="32" spans="1:9" ht="12.75">
      <c r="A32" s="221">
        <v>13</v>
      </c>
      <c r="B32" s="1216" t="s">
        <v>285</v>
      </c>
      <c r="C32" s="1217"/>
      <c r="D32" s="1217"/>
      <c r="E32" s="1218"/>
      <c r="F32" s="222">
        <v>13000</v>
      </c>
      <c r="G32" s="222">
        <v>13000</v>
      </c>
      <c r="H32" s="222">
        <v>12838</v>
      </c>
      <c r="I32" s="225">
        <f t="shared" si="1"/>
        <v>98.75384615384615</v>
      </c>
    </row>
    <row r="33" spans="1:9" s="215" customFormat="1" ht="12.75">
      <c r="A33" s="221">
        <v>14</v>
      </c>
      <c r="B33" s="1214" t="s">
        <v>284</v>
      </c>
      <c r="C33" s="1214"/>
      <c r="D33" s="1214"/>
      <c r="E33" s="1214"/>
      <c r="F33" s="220">
        <v>258563</v>
      </c>
      <c r="G33" s="220">
        <v>249713</v>
      </c>
      <c r="H33" s="220">
        <v>205904</v>
      </c>
      <c r="I33" s="219">
        <f t="shared" si="1"/>
        <v>82.4562597862346</v>
      </c>
    </row>
    <row r="34" spans="1:9" ht="13.5" customHeight="1">
      <c r="A34" s="221">
        <v>15</v>
      </c>
      <c r="B34" s="1214" t="s">
        <v>283</v>
      </c>
      <c r="C34" s="1215"/>
      <c r="D34" s="1215"/>
      <c r="E34" s="1215"/>
      <c r="F34" s="220">
        <v>170529</v>
      </c>
      <c r="G34" s="220">
        <v>230419</v>
      </c>
      <c r="H34" s="220">
        <v>210419</v>
      </c>
      <c r="I34" s="219">
        <f t="shared" si="1"/>
        <v>91.32016022984216</v>
      </c>
    </row>
    <row r="35" spans="1:9" ht="12.75">
      <c r="A35" s="221">
        <v>16</v>
      </c>
      <c r="B35" s="1214" t="s">
        <v>282</v>
      </c>
      <c r="C35" s="1214"/>
      <c r="D35" s="1214"/>
      <c r="E35" s="1214"/>
      <c r="F35" s="220">
        <v>17117</v>
      </c>
      <c r="G35" s="220">
        <v>17117</v>
      </c>
      <c r="H35" s="220">
        <v>4560</v>
      </c>
      <c r="I35" s="219">
        <f t="shared" si="1"/>
        <v>26.640182274931355</v>
      </c>
    </row>
    <row r="36" spans="1:9" ht="12.75">
      <c r="A36" s="221">
        <v>17</v>
      </c>
      <c r="B36" s="1214" t="s">
        <v>281</v>
      </c>
      <c r="C36" s="1214"/>
      <c r="D36" s="1214"/>
      <c r="E36" s="1214"/>
      <c r="F36" s="220">
        <v>0</v>
      </c>
      <c r="G36" s="220">
        <v>13387</v>
      </c>
      <c r="H36" s="220">
        <v>13387</v>
      </c>
      <c r="I36" s="219">
        <f t="shared" si="1"/>
        <v>100</v>
      </c>
    </row>
    <row r="37" spans="1:9" ht="12.75">
      <c r="A37" s="221">
        <v>18</v>
      </c>
      <c r="B37" s="1214" t="s">
        <v>280</v>
      </c>
      <c r="C37" s="1214"/>
      <c r="D37" s="1214"/>
      <c r="E37" s="1214"/>
      <c r="F37" s="220">
        <f>F38+F39+F40+F41+F42+F43+F44+F45+F46</f>
        <v>300</v>
      </c>
      <c r="G37" s="220">
        <f>G38+G39+G40+G41+G42+G43+G44+G45+G46</f>
        <v>13090</v>
      </c>
      <c r="H37" s="220">
        <f>H38+H39+H40+H41+H42+H43+H44+H45+H46</f>
        <v>13156</v>
      </c>
      <c r="I37" s="219">
        <f t="shared" si="1"/>
        <v>100.50420168067227</v>
      </c>
    </row>
    <row r="38" spans="1:9" ht="12.75">
      <c r="A38" s="221">
        <v>19</v>
      </c>
      <c r="B38" s="1215" t="s">
        <v>279</v>
      </c>
      <c r="C38" s="1215"/>
      <c r="D38" s="1215"/>
      <c r="E38" s="1215"/>
      <c r="F38" s="222">
        <v>0</v>
      </c>
      <c r="G38" s="222">
        <v>1215</v>
      </c>
      <c r="H38" s="222">
        <v>1215</v>
      </c>
      <c r="I38" s="225">
        <f t="shared" si="1"/>
        <v>100</v>
      </c>
    </row>
    <row r="39" spans="1:9" ht="12.75">
      <c r="A39" s="221">
        <v>20</v>
      </c>
      <c r="B39" s="1214" t="s">
        <v>278</v>
      </c>
      <c r="C39" s="1214"/>
      <c r="D39" s="1214"/>
      <c r="E39" s="1214"/>
      <c r="F39" s="222">
        <v>0</v>
      </c>
      <c r="G39" s="222">
        <v>1607</v>
      </c>
      <c r="H39" s="222">
        <v>1607</v>
      </c>
      <c r="I39" s="225">
        <f t="shared" si="1"/>
        <v>100</v>
      </c>
    </row>
    <row r="40" spans="1:9" ht="12.75">
      <c r="A40" s="221">
        <v>21</v>
      </c>
      <c r="B40" s="1214" t="s">
        <v>277</v>
      </c>
      <c r="C40" s="1214"/>
      <c r="D40" s="1214"/>
      <c r="E40" s="1214"/>
      <c r="F40" s="222">
        <v>300</v>
      </c>
      <c r="G40" s="222">
        <v>300</v>
      </c>
      <c r="H40" s="222">
        <v>266</v>
      </c>
      <c r="I40" s="225">
        <f t="shared" si="1"/>
        <v>88.66666666666667</v>
      </c>
    </row>
    <row r="41" spans="1:9" ht="12.75">
      <c r="A41" s="221">
        <v>22</v>
      </c>
      <c r="B41" s="1216" t="s">
        <v>276</v>
      </c>
      <c r="C41" s="1217"/>
      <c r="D41" s="1217"/>
      <c r="E41" s="1218"/>
      <c r="F41" s="222">
        <v>0</v>
      </c>
      <c r="G41" s="222">
        <v>866</v>
      </c>
      <c r="H41" s="222">
        <v>866</v>
      </c>
      <c r="I41" s="225">
        <f t="shared" si="1"/>
        <v>100</v>
      </c>
    </row>
    <row r="42" spans="1:9" ht="12.75">
      <c r="A42" s="221">
        <v>23</v>
      </c>
      <c r="B42" s="1215" t="s">
        <v>275</v>
      </c>
      <c r="C42" s="1215"/>
      <c r="D42" s="1215"/>
      <c r="E42" s="1215"/>
      <c r="F42" s="222">
        <v>0</v>
      </c>
      <c r="G42" s="222">
        <v>1384</v>
      </c>
      <c r="H42" s="222">
        <v>1384</v>
      </c>
      <c r="I42" s="225">
        <f t="shared" si="1"/>
        <v>100</v>
      </c>
    </row>
    <row r="43" spans="1:9" ht="12.75">
      <c r="A43" s="221">
        <v>24</v>
      </c>
      <c r="B43" s="1215" t="s">
        <v>274</v>
      </c>
      <c r="C43" s="1215"/>
      <c r="D43" s="1215"/>
      <c r="E43" s="1215"/>
      <c r="F43" s="222">
        <v>0</v>
      </c>
      <c r="G43" s="222">
        <v>200</v>
      </c>
      <c r="H43" s="222">
        <v>300</v>
      </c>
      <c r="I43" s="225">
        <f t="shared" si="1"/>
        <v>150</v>
      </c>
    </row>
    <row r="44" spans="1:9" ht="12.75">
      <c r="A44" s="221">
        <v>25</v>
      </c>
      <c r="B44" s="1215" t="s">
        <v>273</v>
      </c>
      <c r="C44" s="1215"/>
      <c r="D44" s="1215"/>
      <c r="E44" s="1215"/>
      <c r="F44" s="222">
        <v>0</v>
      </c>
      <c r="G44" s="224">
        <v>6925</v>
      </c>
      <c r="H44" s="224">
        <v>6925</v>
      </c>
      <c r="I44" s="223">
        <f t="shared" si="1"/>
        <v>100</v>
      </c>
    </row>
    <row r="45" spans="1:9" ht="12.75">
      <c r="A45" s="221">
        <v>26</v>
      </c>
      <c r="B45" s="1216" t="s">
        <v>272</v>
      </c>
      <c r="C45" s="1217"/>
      <c r="D45" s="1217"/>
      <c r="E45" s="1218"/>
      <c r="F45" s="222">
        <v>0</v>
      </c>
      <c r="G45" s="224">
        <v>342</v>
      </c>
      <c r="H45" s="224">
        <v>342</v>
      </c>
      <c r="I45" s="223">
        <f t="shared" si="1"/>
        <v>100</v>
      </c>
    </row>
    <row r="46" spans="1:9" ht="12.75">
      <c r="A46" s="221">
        <v>27</v>
      </c>
      <c r="B46" s="1216" t="s">
        <v>271</v>
      </c>
      <c r="C46" s="1217"/>
      <c r="D46" s="1217"/>
      <c r="E46" s="1218"/>
      <c r="F46" s="222">
        <v>0</v>
      </c>
      <c r="G46" s="224">
        <v>251</v>
      </c>
      <c r="H46" s="224">
        <v>251</v>
      </c>
      <c r="I46" s="223">
        <f t="shared" si="1"/>
        <v>100</v>
      </c>
    </row>
    <row r="47" spans="1:9" ht="14.25" customHeight="1">
      <c r="A47" s="221">
        <v>28</v>
      </c>
      <c r="B47" s="1230" t="s">
        <v>270</v>
      </c>
      <c r="C47" s="1231"/>
      <c r="D47" s="1231"/>
      <c r="E47" s="1232"/>
      <c r="F47" s="222">
        <v>0</v>
      </c>
      <c r="G47" s="222">
        <v>0</v>
      </c>
      <c r="H47" s="220">
        <v>2598</v>
      </c>
      <c r="I47" s="219">
        <v>0</v>
      </c>
    </row>
    <row r="48" spans="1:9" ht="13.5" customHeight="1">
      <c r="A48" s="221">
        <v>29</v>
      </c>
      <c r="B48" s="1233" t="s">
        <v>269</v>
      </c>
      <c r="C48" s="1234"/>
      <c r="D48" s="1234"/>
      <c r="E48" s="1235"/>
      <c r="F48" s="220">
        <v>600</v>
      </c>
      <c r="G48" s="220">
        <v>600</v>
      </c>
      <c r="H48" s="220">
        <v>717</v>
      </c>
      <c r="I48" s="219">
        <f>(H48/G48)*100</f>
        <v>119.5</v>
      </c>
    </row>
    <row r="49" spans="1:9" ht="12.75">
      <c r="A49" s="221">
        <v>30</v>
      </c>
      <c r="B49" s="1214" t="s">
        <v>268</v>
      </c>
      <c r="C49" s="1214"/>
      <c r="D49" s="1214"/>
      <c r="E49" s="1214"/>
      <c r="F49" s="220">
        <v>0</v>
      </c>
      <c r="G49" s="220">
        <v>0</v>
      </c>
      <c r="H49" s="220">
        <v>0</v>
      </c>
      <c r="I49" s="219">
        <v>0</v>
      </c>
    </row>
    <row r="50" spans="1:9" ht="12.75">
      <c r="A50" s="221">
        <v>31</v>
      </c>
      <c r="B50" s="1214" t="s">
        <v>267</v>
      </c>
      <c r="C50" s="1214"/>
      <c r="D50" s="1214"/>
      <c r="E50" s="1214"/>
      <c r="F50" s="220">
        <v>0</v>
      </c>
      <c r="G50" s="220">
        <v>0</v>
      </c>
      <c r="H50" s="220">
        <v>0</v>
      </c>
      <c r="I50" s="219">
        <v>0</v>
      </c>
    </row>
    <row r="51" spans="1:9" s="215" customFormat="1" ht="15.75" customHeight="1">
      <c r="A51" s="221">
        <v>32</v>
      </c>
      <c r="B51" s="1230" t="s">
        <v>266</v>
      </c>
      <c r="C51" s="1231"/>
      <c r="D51" s="1231"/>
      <c r="E51" s="1232"/>
      <c r="F51" s="220">
        <v>432134</v>
      </c>
      <c r="G51" s="220">
        <v>491158</v>
      </c>
      <c r="H51" s="220">
        <v>1145</v>
      </c>
      <c r="I51" s="219">
        <f>(H51/G51)*100</f>
        <v>0.23312253897931012</v>
      </c>
    </row>
    <row r="52" spans="1:9" s="215" customFormat="1" ht="13.5" thickBot="1">
      <c r="A52" s="218">
        <v>33</v>
      </c>
      <c r="B52" s="1208" t="s">
        <v>11</v>
      </c>
      <c r="C52" s="1209"/>
      <c r="D52" s="1209"/>
      <c r="E52" s="1210"/>
      <c r="F52" s="217">
        <f>F8+F33+F34+F35+F36+F37+F47+F48+F49+F50+F51</f>
        <v>942167</v>
      </c>
      <c r="G52" s="217">
        <f>G8+G33+G34+G35+G36+G37+G47+G48+G49+G50+G51</f>
        <v>1081690</v>
      </c>
      <c r="H52" s="217">
        <f>H8+H33+H34+H35+H36+H37+H47+H48+H51</f>
        <v>524636</v>
      </c>
      <c r="I52" s="216">
        <f>(H52/G52)*100</f>
        <v>48.50151152363431</v>
      </c>
    </row>
    <row r="53" spans="2:10" s="215" customFormat="1" ht="12.75">
      <c r="B53" s="212"/>
      <c r="C53" s="212"/>
      <c r="D53" s="212"/>
      <c r="E53" s="212"/>
      <c r="F53" s="212"/>
      <c r="G53" s="214"/>
      <c r="H53" s="214"/>
      <c r="I53" s="214"/>
      <c r="J53" s="212"/>
    </row>
    <row r="54" spans="7:9" ht="12.75">
      <c r="G54" s="214"/>
      <c r="H54" s="214"/>
      <c r="I54" s="214"/>
    </row>
    <row r="58" ht="12.75">
      <c r="B58" s="213"/>
    </row>
  </sheetData>
  <sheetProtection/>
  <mergeCells count="52">
    <mergeCell ref="B39:E39"/>
    <mergeCell ref="B40:E40"/>
    <mergeCell ref="B45:E45"/>
    <mergeCell ref="B46:E46"/>
    <mergeCell ref="B43:E43"/>
    <mergeCell ref="B50:E50"/>
    <mergeCell ref="B49:E49"/>
    <mergeCell ref="B41:E41"/>
    <mergeCell ref="B51:E51"/>
    <mergeCell ref="B47:E47"/>
    <mergeCell ref="B48:E48"/>
    <mergeCell ref="B44:E44"/>
    <mergeCell ref="B36:E36"/>
    <mergeCell ref="B32:E32"/>
    <mergeCell ref="B34:E34"/>
    <mergeCell ref="B42:E42"/>
    <mergeCell ref="B38:E38"/>
    <mergeCell ref="B37:E37"/>
    <mergeCell ref="B22:E22"/>
    <mergeCell ref="B23:E23"/>
    <mergeCell ref="B31:E31"/>
    <mergeCell ref="B29:E29"/>
    <mergeCell ref="B30:E30"/>
    <mergeCell ref="B28:E28"/>
    <mergeCell ref="B26:E26"/>
    <mergeCell ref="B24:E24"/>
    <mergeCell ref="B12:E12"/>
    <mergeCell ref="B13:E13"/>
    <mergeCell ref="B14:E14"/>
    <mergeCell ref="B15:E15"/>
    <mergeCell ref="B16:E16"/>
    <mergeCell ref="B21:E21"/>
    <mergeCell ref="B20:E20"/>
    <mergeCell ref="B1:J1"/>
    <mergeCell ref="B2:J2"/>
    <mergeCell ref="C4:K4"/>
    <mergeCell ref="B11:E11"/>
    <mergeCell ref="B9:E9"/>
    <mergeCell ref="B8:E8"/>
    <mergeCell ref="B5:E5"/>
    <mergeCell ref="B10:E10"/>
    <mergeCell ref="B6:E7"/>
    <mergeCell ref="B52:E52"/>
    <mergeCell ref="H6:I6"/>
    <mergeCell ref="F7:G7"/>
    <mergeCell ref="B35:E35"/>
    <mergeCell ref="B33:E33"/>
    <mergeCell ref="B18:E18"/>
    <mergeCell ref="B27:E27"/>
    <mergeCell ref="B19:E19"/>
    <mergeCell ref="B25:E25"/>
    <mergeCell ref="B17:E17"/>
  </mergeCells>
  <printOptions/>
  <pageMargins left="0.7874015748031497" right="0.7874015748031497" top="0" bottom="0" header="0.1574803149606299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43">
      <pane xSplit="6" topLeftCell="G1" activePane="topRight" state="frozen"/>
      <selection pane="topLeft" activeCell="A7" sqref="A7"/>
      <selection pane="topRight" activeCell="E116" sqref="E116"/>
    </sheetView>
  </sheetViews>
  <sheetFormatPr defaultColWidth="9.140625" defaultRowHeight="12.75"/>
  <cols>
    <col min="1" max="1" width="3.140625" style="0" customWidth="1"/>
    <col min="2" max="2" width="4.140625" style="0" customWidth="1"/>
    <col min="5" max="5" width="14.8515625" style="0" customWidth="1"/>
    <col min="6" max="6" width="9.00390625" style="0" customWidth="1"/>
    <col min="7" max="8" width="7.7109375" style="0" customWidth="1"/>
    <col min="9" max="9" width="7.00390625" style="0" customWidth="1"/>
    <col min="10" max="10" width="6.57421875" style="0" customWidth="1"/>
    <col min="11" max="12" width="7.7109375" style="0" customWidth="1"/>
    <col min="13" max="14" width="7.00390625" style="0" customWidth="1"/>
    <col min="15" max="16" width="7.7109375" style="0" customWidth="1"/>
    <col min="17" max="17" width="7.00390625" style="0" customWidth="1"/>
    <col min="18" max="18" width="5.421875" style="0" customWidth="1"/>
  </cols>
  <sheetData>
    <row r="1" spans="15:18" ht="12.75">
      <c r="O1" s="1096"/>
      <c r="P1" s="1096"/>
      <c r="Q1" s="1096"/>
      <c r="R1" s="1096"/>
    </row>
    <row r="2" spans="15:18" ht="12.75">
      <c r="O2" s="99"/>
      <c r="P2" s="99"/>
      <c r="Q2" s="1237"/>
      <c r="R2" s="1237"/>
    </row>
    <row r="3" spans="2:18" ht="12.75" customHeight="1">
      <c r="B3" s="1097" t="s">
        <v>369</v>
      </c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</row>
    <row r="4" spans="2:18" ht="16.5" customHeight="1">
      <c r="B4" s="1097" t="s">
        <v>407</v>
      </c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</row>
    <row r="5" spans="2:18" ht="16.5" customHeight="1">
      <c r="B5" s="42"/>
      <c r="C5" s="42"/>
      <c r="D5" s="42"/>
      <c r="E5" s="42"/>
      <c r="F5" s="42"/>
      <c r="G5" s="1236" t="s">
        <v>367</v>
      </c>
      <c r="H5" s="1236"/>
      <c r="I5" s="1236"/>
      <c r="J5" s="1236"/>
      <c r="K5" s="1236"/>
      <c r="L5" s="1236"/>
      <c r="M5" s="42"/>
      <c r="N5" s="42"/>
      <c r="O5" s="42"/>
      <c r="P5" s="42"/>
      <c r="Q5" s="1238" t="s">
        <v>227</v>
      </c>
      <c r="R5" s="1238"/>
    </row>
    <row r="6" spans="2:18" ht="16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97" t="s">
        <v>4</v>
      </c>
      <c r="R6" s="97"/>
    </row>
    <row r="7" spans="1:17" ht="12.75" customHeight="1">
      <c r="A7" s="1174"/>
      <c r="B7" s="1194" t="s">
        <v>41</v>
      </c>
      <c r="C7" s="1195"/>
      <c r="D7" s="1195"/>
      <c r="E7" s="1196"/>
      <c r="F7" s="208" t="s">
        <v>27</v>
      </c>
      <c r="G7" s="208" t="s">
        <v>28</v>
      </c>
      <c r="H7" s="208" t="s">
        <v>29</v>
      </c>
      <c r="I7" s="208" t="s">
        <v>30</v>
      </c>
      <c r="J7" s="208" t="s">
        <v>439</v>
      </c>
      <c r="K7" s="208" t="s">
        <v>438</v>
      </c>
      <c r="L7" s="208" t="s">
        <v>437</v>
      </c>
      <c r="M7" s="208" t="s">
        <v>436</v>
      </c>
      <c r="N7" s="208" t="s">
        <v>435</v>
      </c>
      <c r="O7" s="208" t="s">
        <v>434</v>
      </c>
      <c r="P7" s="208" t="s">
        <v>433</v>
      </c>
      <c r="Q7" s="208" t="s">
        <v>432</v>
      </c>
    </row>
    <row r="8" spans="1:17" ht="12.75" customHeight="1">
      <c r="A8" s="1175"/>
      <c r="B8" s="1245" t="s">
        <v>353</v>
      </c>
      <c r="C8" s="1246"/>
      <c r="D8" s="1246"/>
      <c r="E8" s="1247"/>
      <c r="F8" s="1259" t="s">
        <v>431</v>
      </c>
      <c r="G8" s="1260"/>
      <c r="H8" s="1260"/>
      <c r="I8" s="1261"/>
      <c r="J8" s="1254" t="s">
        <v>352</v>
      </c>
      <c r="K8" s="1255"/>
      <c r="L8" s="1255"/>
      <c r="M8" s="1255"/>
      <c r="N8" s="1255"/>
      <c r="O8" s="1255"/>
      <c r="P8" s="1255"/>
      <c r="Q8" s="1256"/>
    </row>
    <row r="9" spans="1:17" ht="15" customHeight="1">
      <c r="A9" s="1175"/>
      <c r="B9" s="1248"/>
      <c r="C9" s="1249"/>
      <c r="D9" s="1249"/>
      <c r="E9" s="1250"/>
      <c r="F9" s="1262"/>
      <c r="G9" s="1263"/>
      <c r="H9" s="1263"/>
      <c r="I9" s="1264"/>
      <c r="J9" s="1257" t="s">
        <v>430</v>
      </c>
      <c r="K9" s="1241"/>
      <c r="L9" s="1241"/>
      <c r="M9" s="1241"/>
      <c r="N9" s="1241" t="s">
        <v>150</v>
      </c>
      <c r="O9" s="1241"/>
      <c r="P9" s="1241"/>
      <c r="Q9" s="1242"/>
    </row>
    <row r="10" spans="1:17" ht="15" customHeight="1">
      <c r="A10" s="1175"/>
      <c r="B10" s="1248"/>
      <c r="C10" s="1249"/>
      <c r="D10" s="1249"/>
      <c r="E10" s="1250"/>
      <c r="F10" s="291" t="s">
        <v>0</v>
      </c>
      <c r="G10" s="110" t="s">
        <v>1</v>
      </c>
      <c r="H10" s="1050" t="s">
        <v>2</v>
      </c>
      <c r="I10" s="1265"/>
      <c r="J10" s="268" t="s">
        <v>0</v>
      </c>
      <c r="K10" s="267" t="s">
        <v>1</v>
      </c>
      <c r="L10" s="1243" t="s">
        <v>2</v>
      </c>
      <c r="M10" s="1243"/>
      <c r="N10" s="267" t="s">
        <v>0</v>
      </c>
      <c r="O10" s="267" t="s">
        <v>1</v>
      </c>
      <c r="P10" s="1243" t="s">
        <v>2</v>
      </c>
      <c r="Q10" s="1244"/>
    </row>
    <row r="11" spans="1:17" ht="14.25" customHeight="1">
      <c r="A11" s="1175"/>
      <c r="B11" s="1251"/>
      <c r="C11" s="1252"/>
      <c r="D11" s="1252"/>
      <c r="E11" s="1253"/>
      <c r="F11" s="1266" t="s">
        <v>3</v>
      </c>
      <c r="G11" s="1050"/>
      <c r="H11" s="110" t="s">
        <v>119</v>
      </c>
      <c r="I11" s="265" t="s">
        <v>21</v>
      </c>
      <c r="J11" s="1258" t="s">
        <v>3</v>
      </c>
      <c r="K11" s="1243"/>
      <c r="L11" s="267" t="s">
        <v>119</v>
      </c>
      <c r="M11" s="151" t="s">
        <v>21</v>
      </c>
      <c r="N11" s="1243" t="s">
        <v>3</v>
      </c>
      <c r="O11" s="1243"/>
      <c r="P11" s="266" t="s">
        <v>119</v>
      </c>
      <c r="Q11" s="265" t="s">
        <v>21</v>
      </c>
    </row>
    <row r="12" spans="1:17" ht="28.5" customHeight="1">
      <c r="A12" s="1176"/>
      <c r="B12" s="1050" t="s">
        <v>390</v>
      </c>
      <c r="C12" s="1050"/>
      <c r="D12" s="1050"/>
      <c r="E12" s="1125"/>
      <c r="F12" s="291" t="s">
        <v>429</v>
      </c>
      <c r="G12" s="110" t="s">
        <v>428</v>
      </c>
      <c r="H12" s="110" t="s">
        <v>427</v>
      </c>
      <c r="I12" s="258" t="s">
        <v>426</v>
      </c>
      <c r="J12" s="133" t="s">
        <v>425</v>
      </c>
      <c r="K12" s="110" t="s">
        <v>424</v>
      </c>
      <c r="L12" s="110" t="s">
        <v>423</v>
      </c>
      <c r="M12" s="110" t="s">
        <v>422</v>
      </c>
      <c r="N12" s="110" t="s">
        <v>421</v>
      </c>
      <c r="O12" s="110" t="s">
        <v>420</v>
      </c>
      <c r="P12" s="110" t="s">
        <v>419</v>
      </c>
      <c r="Q12" s="258" t="s">
        <v>418</v>
      </c>
    </row>
    <row r="13" spans="1:17" ht="14.25" customHeight="1">
      <c r="A13" s="110">
        <v>1</v>
      </c>
      <c r="B13" s="1155" t="s">
        <v>417</v>
      </c>
      <c r="C13" s="1042"/>
      <c r="D13" s="1042"/>
      <c r="E13" s="1042"/>
      <c r="F13" s="287">
        <f aca="true" t="shared" si="0" ref="F13:H19">J13+N13+F50+J50+N50+F94+J94+N94</f>
        <v>579312</v>
      </c>
      <c r="G13" s="144">
        <f t="shared" si="0"/>
        <v>627407</v>
      </c>
      <c r="H13" s="144">
        <f t="shared" si="0"/>
        <v>178968</v>
      </c>
      <c r="I13" s="66">
        <f>(H13/G13)*100</f>
        <v>28.525024425930855</v>
      </c>
      <c r="J13" s="105">
        <v>65357</v>
      </c>
      <c r="K13" s="144">
        <v>66711</v>
      </c>
      <c r="L13" s="144">
        <v>56630</v>
      </c>
      <c r="M13" s="259">
        <f>L13/K13*100</f>
        <v>84.88854911483863</v>
      </c>
      <c r="N13" s="144">
        <v>19070</v>
      </c>
      <c r="O13" s="144">
        <v>19450</v>
      </c>
      <c r="P13" s="144">
        <v>15679</v>
      </c>
      <c r="Q13" s="66">
        <f>P13/O13*100</f>
        <v>80.61182519280206</v>
      </c>
    </row>
    <row r="14" spans="1:17" ht="14.25" customHeight="1">
      <c r="A14" s="110">
        <v>2</v>
      </c>
      <c r="B14" s="1155" t="s">
        <v>335</v>
      </c>
      <c r="C14" s="1042"/>
      <c r="D14" s="1042"/>
      <c r="E14" s="1042"/>
      <c r="F14" s="287">
        <f t="shared" si="0"/>
        <v>2000</v>
      </c>
      <c r="G14" s="144">
        <f t="shared" si="0"/>
        <v>2000</v>
      </c>
      <c r="H14" s="144">
        <f t="shared" si="0"/>
        <v>1600</v>
      </c>
      <c r="I14" s="66">
        <f>H14/G14*100</f>
        <v>80</v>
      </c>
      <c r="J14" s="105"/>
      <c r="K14" s="144"/>
      <c r="L14" s="144"/>
      <c r="M14" s="259"/>
      <c r="N14" s="144"/>
      <c r="O14" s="144"/>
      <c r="P14" s="144"/>
      <c r="Q14" s="66"/>
    </row>
    <row r="15" spans="1:17" ht="14.25" customHeight="1">
      <c r="A15" s="110">
        <v>3</v>
      </c>
      <c r="B15" s="1051" t="s">
        <v>334</v>
      </c>
      <c r="C15" s="1051"/>
      <c r="D15" s="1051"/>
      <c r="E15" s="1155"/>
      <c r="F15" s="287">
        <f t="shared" si="0"/>
        <v>0</v>
      </c>
      <c r="G15" s="144">
        <f t="shared" si="0"/>
        <v>0</v>
      </c>
      <c r="H15" s="144">
        <f t="shared" si="0"/>
        <v>0</v>
      </c>
      <c r="I15" s="66">
        <v>0</v>
      </c>
      <c r="J15" s="105"/>
      <c r="K15" s="144"/>
      <c r="L15" s="144"/>
      <c r="M15" s="259"/>
      <c r="N15" s="144"/>
      <c r="O15" s="144"/>
      <c r="P15" s="144"/>
      <c r="Q15" s="66"/>
    </row>
    <row r="16" spans="1:17" ht="13.5" customHeight="1">
      <c r="A16" s="110">
        <v>4</v>
      </c>
      <c r="B16" s="1272" t="s">
        <v>333</v>
      </c>
      <c r="C16" s="1272"/>
      <c r="D16" s="1272"/>
      <c r="E16" s="1272"/>
      <c r="F16" s="287">
        <f t="shared" si="0"/>
        <v>0</v>
      </c>
      <c r="G16" s="144">
        <f t="shared" si="0"/>
        <v>2500</v>
      </c>
      <c r="H16" s="144">
        <f t="shared" si="0"/>
        <v>2500</v>
      </c>
      <c r="I16" s="66">
        <f>H16/G16*100</f>
        <v>100</v>
      </c>
      <c r="J16" s="105"/>
      <c r="K16" s="144"/>
      <c r="L16" s="144"/>
      <c r="M16" s="259"/>
      <c r="N16" s="144"/>
      <c r="O16" s="144"/>
      <c r="P16" s="144"/>
      <c r="Q16" s="66"/>
    </row>
    <row r="17" spans="1:17" ht="13.5" customHeight="1">
      <c r="A17" s="110">
        <v>5</v>
      </c>
      <c r="B17" s="1155" t="s">
        <v>416</v>
      </c>
      <c r="C17" s="1042"/>
      <c r="D17" s="1042"/>
      <c r="E17" s="1042"/>
      <c r="F17" s="287">
        <f t="shared" si="0"/>
        <v>3142</v>
      </c>
      <c r="G17" s="144">
        <f t="shared" si="0"/>
        <v>3142</v>
      </c>
      <c r="H17" s="144">
        <f t="shared" si="0"/>
        <v>6932</v>
      </c>
      <c r="I17" s="66">
        <f aca="true" t="shared" si="1" ref="I17:I25">(H17/G17)*100</f>
        <v>220.62380649267982</v>
      </c>
      <c r="J17" s="105"/>
      <c r="K17" s="144"/>
      <c r="L17" s="144"/>
      <c r="M17" s="259"/>
      <c r="N17" s="144"/>
      <c r="O17" s="144"/>
      <c r="P17" s="144"/>
      <c r="Q17" s="66"/>
    </row>
    <row r="18" spans="1:17" ht="13.5" customHeight="1">
      <c r="A18" s="110">
        <v>6</v>
      </c>
      <c r="B18" s="1155" t="s">
        <v>378</v>
      </c>
      <c r="C18" s="1042"/>
      <c r="D18" s="1042"/>
      <c r="E18" s="1042"/>
      <c r="F18" s="287">
        <f t="shared" si="0"/>
        <v>1080</v>
      </c>
      <c r="G18" s="144">
        <f t="shared" si="0"/>
        <v>1080</v>
      </c>
      <c r="H18" s="144">
        <f t="shared" si="0"/>
        <v>215</v>
      </c>
      <c r="I18" s="66">
        <f t="shared" si="1"/>
        <v>19.90740740740741</v>
      </c>
      <c r="J18" s="105"/>
      <c r="K18" s="144"/>
      <c r="L18" s="144"/>
      <c r="M18" s="259"/>
      <c r="N18" s="144"/>
      <c r="O18" s="144"/>
      <c r="P18" s="144"/>
      <c r="Q18" s="66"/>
    </row>
    <row r="19" spans="1:17" ht="13.5" customHeight="1">
      <c r="A19" s="110">
        <v>7</v>
      </c>
      <c r="B19" s="1155" t="s">
        <v>377</v>
      </c>
      <c r="C19" s="1042"/>
      <c r="D19" s="1042"/>
      <c r="E19" s="1042"/>
      <c r="F19" s="287">
        <f t="shared" si="0"/>
        <v>25994</v>
      </c>
      <c r="G19" s="144">
        <f t="shared" si="0"/>
        <v>27801</v>
      </c>
      <c r="H19" s="144">
        <f t="shared" si="0"/>
        <v>19112</v>
      </c>
      <c r="I19" s="66">
        <f t="shared" si="1"/>
        <v>68.74572857091471</v>
      </c>
      <c r="J19" s="105">
        <v>5303</v>
      </c>
      <c r="K19" s="144">
        <v>6671</v>
      </c>
      <c r="L19" s="144">
        <v>7674</v>
      </c>
      <c r="M19" s="259">
        <f>L19/K19*100</f>
        <v>115.03522710238346</v>
      </c>
      <c r="N19" s="144">
        <v>1711</v>
      </c>
      <c r="O19" s="144">
        <v>2150</v>
      </c>
      <c r="P19" s="144">
        <v>1557</v>
      </c>
      <c r="Q19" s="66">
        <f>P19/O19*100</f>
        <v>72.41860465116278</v>
      </c>
    </row>
    <row r="20" spans="1:17" ht="13.5" customHeight="1">
      <c r="A20" s="110">
        <v>8</v>
      </c>
      <c r="B20" s="1155" t="s">
        <v>329</v>
      </c>
      <c r="C20" s="1042"/>
      <c r="D20" s="1042"/>
      <c r="E20" s="1042"/>
      <c r="F20" s="287">
        <f>J20+N20+F58+F101+J101</f>
        <v>770</v>
      </c>
      <c r="G20" s="144">
        <f>K20+O20+G58+G101+K101</f>
        <v>770</v>
      </c>
      <c r="H20" s="144">
        <f>L20+P20+H58+H101+L101</f>
        <v>518</v>
      </c>
      <c r="I20" s="66">
        <f t="shared" si="1"/>
        <v>67.27272727272727</v>
      </c>
      <c r="J20" s="105"/>
      <c r="K20" s="144"/>
      <c r="L20" s="144"/>
      <c r="M20" s="259"/>
      <c r="N20" s="144"/>
      <c r="O20" s="144"/>
      <c r="P20" s="144"/>
      <c r="Q20" s="66"/>
    </row>
    <row r="21" spans="1:17" ht="13.5" customHeight="1">
      <c r="A21" s="110">
        <v>9</v>
      </c>
      <c r="B21" s="1155" t="s">
        <v>328</v>
      </c>
      <c r="C21" s="1042"/>
      <c r="D21" s="1042"/>
      <c r="E21" s="1042"/>
      <c r="F21" s="287">
        <f aca="true" t="shared" si="2" ref="F21:F33">J21+N21+F59+J59+N59+F102+J102+N102</f>
        <v>5050</v>
      </c>
      <c r="G21" s="144">
        <f aca="true" t="shared" si="3" ref="G21:G33">K21+O21+G59+K59+O59+G102+K102+O102</f>
        <v>5050</v>
      </c>
      <c r="H21" s="144">
        <f aca="true" t="shared" si="4" ref="H21:H33">L21+P21+H59+L59+P59+H102+L102+P102</f>
        <v>4616</v>
      </c>
      <c r="I21" s="66">
        <f t="shared" si="1"/>
        <v>91.40594059405942</v>
      </c>
      <c r="J21" s="105"/>
      <c r="K21" s="144"/>
      <c r="L21" s="144"/>
      <c r="M21" s="259"/>
      <c r="N21" s="144"/>
      <c r="O21" s="144"/>
      <c r="P21" s="144"/>
      <c r="Q21" s="66"/>
    </row>
    <row r="22" spans="1:17" ht="13.5" customHeight="1">
      <c r="A22" s="110">
        <v>10</v>
      </c>
      <c r="B22" s="1155" t="s">
        <v>327</v>
      </c>
      <c r="C22" s="1042"/>
      <c r="D22" s="1042"/>
      <c r="E22" s="1042"/>
      <c r="F22" s="287">
        <f t="shared" si="2"/>
        <v>240</v>
      </c>
      <c r="G22" s="144">
        <f t="shared" si="3"/>
        <v>240</v>
      </c>
      <c r="H22" s="144">
        <f t="shared" si="4"/>
        <v>233</v>
      </c>
      <c r="I22" s="66">
        <f t="shared" si="1"/>
        <v>97.08333333333333</v>
      </c>
      <c r="J22" s="105"/>
      <c r="K22" s="144"/>
      <c r="L22" s="144"/>
      <c r="M22" s="259"/>
      <c r="N22" s="144"/>
      <c r="O22" s="144"/>
      <c r="P22" s="144"/>
      <c r="Q22" s="66"/>
    </row>
    <row r="23" spans="1:17" ht="13.5" customHeight="1">
      <c r="A23" s="110">
        <v>11</v>
      </c>
      <c r="B23" s="1155" t="s">
        <v>415</v>
      </c>
      <c r="C23" s="1042"/>
      <c r="D23" s="1042"/>
      <c r="E23" s="1042"/>
      <c r="F23" s="287">
        <f t="shared" si="2"/>
        <v>24010</v>
      </c>
      <c r="G23" s="144">
        <f t="shared" si="3"/>
        <v>24010</v>
      </c>
      <c r="H23" s="144">
        <f t="shared" si="4"/>
        <v>24559</v>
      </c>
      <c r="I23" s="66">
        <f t="shared" si="1"/>
        <v>102.28654727197002</v>
      </c>
      <c r="J23" s="105"/>
      <c r="K23" s="144"/>
      <c r="L23" s="144"/>
      <c r="M23" s="259"/>
      <c r="N23" s="144"/>
      <c r="O23" s="144"/>
      <c r="P23" s="144"/>
      <c r="Q23" s="66"/>
    </row>
    <row r="24" spans="1:17" ht="13.5" customHeight="1">
      <c r="A24" s="110">
        <v>12</v>
      </c>
      <c r="B24" s="1155" t="s">
        <v>414</v>
      </c>
      <c r="C24" s="1042"/>
      <c r="D24" s="1042"/>
      <c r="E24" s="1042"/>
      <c r="F24" s="287">
        <f t="shared" si="2"/>
        <v>4000</v>
      </c>
      <c r="G24" s="144">
        <f t="shared" si="3"/>
        <v>4000</v>
      </c>
      <c r="H24" s="144">
        <f t="shared" si="4"/>
        <v>0</v>
      </c>
      <c r="I24" s="66">
        <f t="shared" si="1"/>
        <v>0</v>
      </c>
      <c r="J24" s="105"/>
      <c r="K24" s="144"/>
      <c r="L24" s="144"/>
      <c r="M24" s="259"/>
      <c r="N24" s="144"/>
      <c r="O24" s="144"/>
      <c r="P24" s="144"/>
      <c r="Q24" s="66"/>
    </row>
    <row r="25" spans="1:17" ht="13.5" customHeight="1">
      <c r="A25" s="110">
        <v>13</v>
      </c>
      <c r="B25" s="1155" t="s">
        <v>413</v>
      </c>
      <c r="C25" s="1042"/>
      <c r="D25" s="1042"/>
      <c r="E25" s="1042"/>
      <c r="F25" s="287">
        <f t="shared" si="2"/>
        <v>15741</v>
      </c>
      <c r="G25" s="144">
        <f t="shared" si="3"/>
        <v>15741</v>
      </c>
      <c r="H25" s="144">
        <f t="shared" si="4"/>
        <v>1574</v>
      </c>
      <c r="I25" s="66">
        <f t="shared" si="1"/>
        <v>9.999364716345848</v>
      </c>
      <c r="J25" s="105"/>
      <c r="K25" s="144"/>
      <c r="L25" s="144"/>
      <c r="M25" s="259"/>
      <c r="N25" s="144"/>
      <c r="O25" s="144"/>
      <c r="P25" s="144"/>
      <c r="Q25" s="66"/>
    </row>
    <row r="26" spans="1:17" ht="13.5" customHeight="1">
      <c r="A26" s="110">
        <v>14</v>
      </c>
      <c r="B26" s="1155" t="s">
        <v>412</v>
      </c>
      <c r="C26" s="1042"/>
      <c r="D26" s="1042"/>
      <c r="E26" s="1042"/>
      <c r="F26" s="287">
        <f t="shared" si="2"/>
        <v>0</v>
      </c>
      <c r="G26" s="144">
        <f t="shared" si="3"/>
        <v>650</v>
      </c>
      <c r="H26" s="144">
        <f t="shared" si="4"/>
        <v>487</v>
      </c>
      <c r="I26" s="66">
        <f>H26/G26*100</f>
        <v>74.92307692307692</v>
      </c>
      <c r="J26" s="105"/>
      <c r="K26" s="144"/>
      <c r="L26" s="144"/>
      <c r="M26" s="259"/>
      <c r="N26" s="144"/>
      <c r="O26" s="144"/>
      <c r="P26" s="144"/>
      <c r="Q26" s="66"/>
    </row>
    <row r="27" spans="1:17" ht="13.5" customHeight="1">
      <c r="A27" s="110">
        <v>15</v>
      </c>
      <c r="B27" s="1155" t="s">
        <v>322</v>
      </c>
      <c r="C27" s="1042"/>
      <c r="D27" s="1042"/>
      <c r="E27" s="1042"/>
      <c r="F27" s="287">
        <f t="shared" si="2"/>
        <v>21883</v>
      </c>
      <c r="G27" s="144">
        <f t="shared" si="3"/>
        <v>23490</v>
      </c>
      <c r="H27" s="144">
        <f t="shared" si="4"/>
        <v>22286</v>
      </c>
      <c r="I27" s="66">
        <f>(H27/G27)*100</f>
        <v>94.8744146445296</v>
      </c>
      <c r="J27" s="105"/>
      <c r="K27" s="144"/>
      <c r="L27" s="144"/>
      <c r="M27" s="259"/>
      <c r="N27" s="144">
        <v>3045</v>
      </c>
      <c r="O27" s="144">
        <v>3045</v>
      </c>
      <c r="P27" s="144">
        <v>2833</v>
      </c>
      <c r="Q27" s="66">
        <f>P27/O27*100</f>
        <v>93.03776683087028</v>
      </c>
    </row>
    <row r="28" spans="1:17" ht="13.5" customHeight="1">
      <c r="A28" s="110">
        <v>16</v>
      </c>
      <c r="B28" s="1155" t="s">
        <v>411</v>
      </c>
      <c r="C28" s="1042"/>
      <c r="D28" s="1042"/>
      <c r="E28" s="1042"/>
      <c r="F28" s="287">
        <f t="shared" si="2"/>
        <v>0</v>
      </c>
      <c r="G28" s="144">
        <f t="shared" si="3"/>
        <v>0</v>
      </c>
      <c r="H28" s="144">
        <f t="shared" si="4"/>
        <v>0</v>
      </c>
      <c r="I28" s="66">
        <v>0</v>
      </c>
      <c r="J28" s="105"/>
      <c r="K28" s="144"/>
      <c r="L28" s="144"/>
      <c r="M28" s="259"/>
      <c r="N28" s="144"/>
      <c r="O28" s="144"/>
      <c r="P28" s="144"/>
      <c r="Q28" s="66"/>
    </row>
    <row r="29" spans="1:17" ht="13.5" customHeight="1">
      <c r="A29" s="110">
        <v>17</v>
      </c>
      <c r="B29" s="1155" t="s">
        <v>410</v>
      </c>
      <c r="C29" s="1042"/>
      <c r="D29" s="1042"/>
      <c r="E29" s="1042"/>
      <c r="F29" s="287">
        <f t="shared" si="2"/>
        <v>0</v>
      </c>
      <c r="G29" s="144">
        <f t="shared" si="3"/>
        <v>896</v>
      </c>
      <c r="H29" s="144">
        <f t="shared" si="4"/>
        <v>856</v>
      </c>
      <c r="I29" s="66">
        <f>(H29/G29)*100</f>
        <v>95.53571428571429</v>
      </c>
      <c r="J29" s="105"/>
      <c r="K29" s="144">
        <v>454</v>
      </c>
      <c r="L29" s="144">
        <v>524</v>
      </c>
      <c r="M29" s="259">
        <f>L29/K29*100</f>
        <v>115.41850220264318</v>
      </c>
      <c r="N29" s="144"/>
      <c r="O29" s="144">
        <v>145</v>
      </c>
      <c r="P29" s="144">
        <v>145</v>
      </c>
      <c r="Q29" s="66">
        <f>P29/O29*100</f>
        <v>100</v>
      </c>
    </row>
    <row r="30" spans="1:17" ht="13.5" customHeight="1">
      <c r="A30" s="110">
        <v>18</v>
      </c>
      <c r="B30" s="1155" t="s">
        <v>319</v>
      </c>
      <c r="C30" s="1042"/>
      <c r="D30" s="1042"/>
      <c r="E30" s="1042"/>
      <c r="F30" s="287">
        <f t="shared" si="2"/>
        <v>0</v>
      </c>
      <c r="G30" s="144">
        <f t="shared" si="3"/>
        <v>0</v>
      </c>
      <c r="H30" s="144">
        <f t="shared" si="4"/>
        <v>0</v>
      </c>
      <c r="I30" s="66">
        <v>0</v>
      </c>
      <c r="J30" s="105"/>
      <c r="K30" s="144"/>
      <c r="L30" s="144"/>
      <c r="M30" s="259"/>
      <c r="N30" s="144"/>
      <c r="O30" s="144"/>
      <c r="P30" s="144"/>
      <c r="Q30" s="66"/>
    </row>
    <row r="31" spans="1:17" ht="13.5" customHeight="1">
      <c r="A31" s="110">
        <v>19</v>
      </c>
      <c r="B31" s="1155" t="s">
        <v>409</v>
      </c>
      <c r="C31" s="1042"/>
      <c r="D31" s="1042"/>
      <c r="E31" s="1042"/>
      <c r="F31" s="287">
        <f t="shared" si="2"/>
        <v>1000</v>
      </c>
      <c r="G31" s="144">
        <f t="shared" si="3"/>
        <v>1000</v>
      </c>
      <c r="H31" s="144">
        <f t="shared" si="4"/>
        <v>1160</v>
      </c>
      <c r="I31" s="66">
        <f>(H31/G31)*100</f>
        <v>115.99999999999999</v>
      </c>
      <c r="J31" s="105"/>
      <c r="K31" s="144"/>
      <c r="L31" s="144"/>
      <c r="M31" s="259"/>
      <c r="N31" s="144"/>
      <c r="O31" s="144"/>
      <c r="P31" s="144"/>
      <c r="Q31" s="66"/>
    </row>
    <row r="32" spans="1:17" ht="13.5" customHeight="1">
      <c r="A32" s="110">
        <v>20</v>
      </c>
      <c r="B32" s="1155" t="s">
        <v>317</v>
      </c>
      <c r="C32" s="1042"/>
      <c r="D32" s="1042"/>
      <c r="E32" s="1042"/>
      <c r="F32" s="287">
        <f t="shared" si="2"/>
        <v>0</v>
      </c>
      <c r="G32" s="144">
        <f t="shared" si="3"/>
        <v>75153</v>
      </c>
      <c r="H32" s="144">
        <f t="shared" si="4"/>
        <v>0</v>
      </c>
      <c r="I32" s="66">
        <f>(H32/G32)*100</f>
        <v>0</v>
      </c>
      <c r="J32" s="105"/>
      <c r="K32" s="144"/>
      <c r="L32" s="144"/>
      <c r="M32" s="259"/>
      <c r="N32" s="144"/>
      <c r="O32" s="144"/>
      <c r="P32" s="144"/>
      <c r="Q32" s="66"/>
    </row>
    <row r="33" spans="1:17" s="26" customFormat="1" ht="13.5" customHeight="1" thickBot="1">
      <c r="A33" s="110">
        <v>21</v>
      </c>
      <c r="B33" s="1051" t="s">
        <v>408</v>
      </c>
      <c r="C33" s="1051"/>
      <c r="D33" s="1051"/>
      <c r="E33" s="1155"/>
      <c r="F33" s="300">
        <f t="shared" si="2"/>
        <v>32296</v>
      </c>
      <c r="G33" s="282">
        <f t="shared" si="3"/>
        <v>32165</v>
      </c>
      <c r="H33" s="282">
        <f t="shared" si="4"/>
        <v>28104</v>
      </c>
      <c r="I33" s="67">
        <f>(H33/G33)*100</f>
        <v>87.3744753614177</v>
      </c>
      <c r="J33" s="299"/>
      <c r="K33" s="122"/>
      <c r="L33" s="122"/>
      <c r="M33" s="259"/>
      <c r="N33" s="122"/>
      <c r="O33" s="122"/>
      <c r="P33" s="122"/>
      <c r="Q33" s="67"/>
    </row>
    <row r="34" spans="1:18" s="297" customFormat="1" ht="13.5" customHeight="1" thickBot="1">
      <c r="A34" s="110">
        <v>22</v>
      </c>
      <c r="B34" s="1268" t="s">
        <v>315</v>
      </c>
      <c r="C34" s="1268"/>
      <c r="D34" s="1268"/>
      <c r="E34" s="1274"/>
      <c r="F34" s="280">
        <f>SUM(F13:F33)</f>
        <v>716518</v>
      </c>
      <c r="G34" s="279">
        <f>SUM(G13:G33)</f>
        <v>847095</v>
      </c>
      <c r="H34" s="279">
        <f>SUM(H13:H33)</f>
        <v>293720</v>
      </c>
      <c r="I34" s="246">
        <f>(H34/G34)*100</f>
        <v>34.67379691770108</v>
      </c>
      <c r="J34" s="249">
        <f>SUM(J13:J33)</f>
        <v>70660</v>
      </c>
      <c r="K34" s="247">
        <f>SUM(K13:K33)</f>
        <v>73836</v>
      </c>
      <c r="L34" s="279">
        <f>SUM(L13:L33)</f>
        <v>64828</v>
      </c>
      <c r="M34" s="298">
        <f>L34/K34*100</f>
        <v>87.79998916517688</v>
      </c>
      <c r="N34" s="247">
        <f>SUM(N13:N33)</f>
        <v>23826</v>
      </c>
      <c r="O34" s="249">
        <f>SUM(O13:O33)</f>
        <v>24790</v>
      </c>
      <c r="P34" s="276">
        <f>SUM(P13:P33)</f>
        <v>20214</v>
      </c>
      <c r="Q34" s="246">
        <f>P34/O34*100</f>
        <v>81.54094392900363</v>
      </c>
      <c r="R34" s="240"/>
    </row>
    <row r="35" spans="2:18" s="240" customFormat="1" ht="13.5" customHeight="1">
      <c r="B35" s="156"/>
      <c r="C35" s="160"/>
      <c r="D35" s="160"/>
      <c r="E35" s="160"/>
      <c r="F35" s="160"/>
      <c r="G35" s="20"/>
      <c r="H35" s="20"/>
      <c r="I35" s="20"/>
      <c r="J35" s="296"/>
      <c r="K35" s="20"/>
      <c r="L35" s="20"/>
      <c r="M35" s="20"/>
      <c r="N35" s="296"/>
      <c r="O35" s="20"/>
      <c r="P35" s="20"/>
      <c r="Q35" s="20"/>
      <c r="R35" s="296"/>
    </row>
    <row r="36" spans="2:18" s="240" customFormat="1" ht="13.5" customHeight="1">
      <c r="B36" s="156"/>
      <c r="C36" s="160"/>
      <c r="D36" s="160"/>
      <c r="E36" s="160"/>
      <c r="F36" s="16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96"/>
    </row>
    <row r="37" spans="2:18" s="240" customFormat="1" ht="13.5" customHeight="1">
      <c r="B37" s="156"/>
      <c r="C37" s="160"/>
      <c r="D37" s="160"/>
      <c r="E37" s="160"/>
      <c r="F37" s="160"/>
      <c r="G37" s="20"/>
      <c r="H37" s="20"/>
      <c r="I37" s="20"/>
      <c r="J37" s="296"/>
      <c r="K37" s="20"/>
      <c r="L37" s="20"/>
      <c r="M37" s="20"/>
      <c r="N37" s="296"/>
      <c r="O37" s="20"/>
      <c r="P37" s="20"/>
      <c r="Q37" s="20"/>
      <c r="R37" s="296"/>
    </row>
    <row r="38" ht="13.5" customHeight="1"/>
    <row r="39" ht="13.5" customHeight="1"/>
    <row r="40" spans="1:18" ht="13.5" customHeight="1">
      <c r="A40" s="1158" t="s">
        <v>369</v>
      </c>
      <c r="B40" s="1158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8"/>
      <c r="R40" s="1158"/>
    </row>
    <row r="41" spans="1:17" ht="19.5" customHeight="1">
      <c r="A41" s="1097" t="s">
        <v>407</v>
      </c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  <c r="P41" s="1097"/>
      <c r="Q41" s="1097"/>
    </row>
    <row r="42" spans="2:18" ht="13.5" customHeight="1">
      <c r="B42" s="1237" t="s">
        <v>367</v>
      </c>
      <c r="C42" s="1237"/>
      <c r="D42" s="1237"/>
      <c r="E42" s="1237"/>
      <c r="F42" s="1237"/>
      <c r="G42" s="1237"/>
      <c r="H42" s="1237"/>
      <c r="I42" s="1237"/>
      <c r="J42" s="1237"/>
      <c r="K42" s="1237"/>
      <c r="L42" s="1237"/>
      <c r="M42" s="1237"/>
      <c r="N42" s="1237"/>
      <c r="O42" s="1237"/>
      <c r="P42" s="1237"/>
      <c r="Q42" s="1237"/>
      <c r="R42" s="1237"/>
    </row>
    <row r="43" spans="17:18" ht="12.75">
      <c r="Q43" s="275" t="s">
        <v>406</v>
      </c>
      <c r="R43" s="275"/>
    </row>
    <row r="44" spans="1:18" ht="12.75">
      <c r="A44" s="1174"/>
      <c r="B44" s="1194" t="s">
        <v>405</v>
      </c>
      <c r="C44" s="1195"/>
      <c r="D44" s="1195"/>
      <c r="E44" s="1195"/>
      <c r="F44" s="294" t="s">
        <v>404</v>
      </c>
      <c r="G44" s="208" t="s">
        <v>403</v>
      </c>
      <c r="H44" s="208" t="s">
        <v>402</v>
      </c>
      <c r="I44" s="295" t="s">
        <v>401</v>
      </c>
      <c r="J44" s="294" t="s">
        <v>400</v>
      </c>
      <c r="K44" s="208" t="s">
        <v>399</v>
      </c>
      <c r="L44" s="208" t="s">
        <v>398</v>
      </c>
      <c r="M44" s="208" t="s">
        <v>397</v>
      </c>
      <c r="N44" s="208" t="s">
        <v>396</v>
      </c>
      <c r="O44" s="208" t="s">
        <v>395</v>
      </c>
      <c r="P44" s="208" t="s">
        <v>394</v>
      </c>
      <c r="Q44" s="208" t="s">
        <v>393</v>
      </c>
      <c r="R44" s="293"/>
    </row>
    <row r="45" spans="1:17" ht="12.75" customHeight="1">
      <c r="A45" s="1175"/>
      <c r="B45" s="1245" t="s">
        <v>353</v>
      </c>
      <c r="C45" s="1246"/>
      <c r="D45" s="1246"/>
      <c r="E45" s="1247"/>
      <c r="F45" s="1294" t="s">
        <v>352</v>
      </c>
      <c r="G45" s="1295"/>
      <c r="H45" s="1295"/>
      <c r="I45" s="1295"/>
      <c r="J45" s="1295"/>
      <c r="K45" s="1295"/>
      <c r="L45" s="1295"/>
      <c r="M45" s="1295"/>
      <c r="N45" s="1295"/>
      <c r="O45" s="1295"/>
      <c r="P45" s="1295"/>
      <c r="Q45" s="1296"/>
    </row>
    <row r="46" spans="1:17" ht="12.75">
      <c r="A46" s="1175"/>
      <c r="B46" s="1248"/>
      <c r="C46" s="1249"/>
      <c r="D46" s="1249"/>
      <c r="E46" s="1250"/>
      <c r="F46" s="1241" t="s">
        <v>392</v>
      </c>
      <c r="G46" s="1241"/>
      <c r="H46" s="1241"/>
      <c r="I46" s="1280"/>
      <c r="J46" s="1281" t="s">
        <v>391</v>
      </c>
      <c r="K46" s="1241"/>
      <c r="L46" s="1241"/>
      <c r="M46" s="1241"/>
      <c r="N46" s="1241" t="s">
        <v>87</v>
      </c>
      <c r="O46" s="1241"/>
      <c r="P46" s="1241"/>
      <c r="Q46" s="1242"/>
    </row>
    <row r="47" spans="1:17" ht="12.75">
      <c r="A47" s="1175"/>
      <c r="B47" s="1248"/>
      <c r="C47" s="1249"/>
      <c r="D47" s="1249"/>
      <c r="E47" s="1250"/>
      <c r="F47" s="267" t="s">
        <v>0</v>
      </c>
      <c r="G47" s="267" t="s">
        <v>1</v>
      </c>
      <c r="H47" s="1243" t="s">
        <v>2</v>
      </c>
      <c r="I47" s="1282"/>
      <c r="J47" s="292" t="s">
        <v>0</v>
      </c>
      <c r="K47" s="267" t="s">
        <v>1</v>
      </c>
      <c r="L47" s="1243" t="s">
        <v>2</v>
      </c>
      <c r="M47" s="1243"/>
      <c r="N47" s="267" t="s">
        <v>0</v>
      </c>
      <c r="O47" s="267" t="s">
        <v>1</v>
      </c>
      <c r="P47" s="1243" t="s">
        <v>2</v>
      </c>
      <c r="Q47" s="1244"/>
    </row>
    <row r="48" spans="1:17" ht="12.75">
      <c r="A48" s="1175"/>
      <c r="B48" s="1251"/>
      <c r="C48" s="1252"/>
      <c r="D48" s="1252"/>
      <c r="E48" s="1253"/>
      <c r="F48" s="1243" t="s">
        <v>3</v>
      </c>
      <c r="G48" s="1243"/>
      <c r="H48" s="267" t="s">
        <v>119</v>
      </c>
      <c r="I48" s="152" t="s">
        <v>21</v>
      </c>
      <c r="J48" s="1283" t="s">
        <v>3</v>
      </c>
      <c r="K48" s="1243"/>
      <c r="L48" s="266" t="s">
        <v>119</v>
      </c>
      <c r="M48" s="151" t="s">
        <v>21</v>
      </c>
      <c r="N48" s="1243" t="s">
        <v>3</v>
      </c>
      <c r="O48" s="1243"/>
      <c r="P48" s="266" t="s">
        <v>119</v>
      </c>
      <c r="Q48" s="265" t="s">
        <v>21</v>
      </c>
    </row>
    <row r="49" spans="1:17" s="176" customFormat="1" ht="11.25">
      <c r="A49" s="1176"/>
      <c r="B49" s="1125" t="s">
        <v>390</v>
      </c>
      <c r="C49" s="1126"/>
      <c r="D49" s="1126"/>
      <c r="E49" s="1273"/>
      <c r="F49" s="133" t="s">
        <v>389</v>
      </c>
      <c r="G49" s="110" t="s">
        <v>388</v>
      </c>
      <c r="H49" s="110" t="s">
        <v>387</v>
      </c>
      <c r="I49" s="135">
        <v>17</v>
      </c>
      <c r="J49" s="291" t="s">
        <v>386</v>
      </c>
      <c r="K49" s="110" t="s">
        <v>385</v>
      </c>
      <c r="L49" s="110" t="s">
        <v>384</v>
      </c>
      <c r="M49" s="110" t="s">
        <v>383</v>
      </c>
      <c r="N49" s="110" t="s">
        <v>382</v>
      </c>
      <c r="O49" s="110" t="s">
        <v>381</v>
      </c>
      <c r="P49" s="110" t="s">
        <v>380</v>
      </c>
      <c r="Q49" s="258" t="s">
        <v>379</v>
      </c>
    </row>
    <row r="50" spans="1:17" ht="12.75">
      <c r="A50" s="110">
        <v>23</v>
      </c>
      <c r="B50" s="1155" t="s">
        <v>336</v>
      </c>
      <c r="C50" s="1042"/>
      <c r="D50" s="1042"/>
      <c r="E50" s="1239"/>
      <c r="F50" s="105">
        <v>60335</v>
      </c>
      <c r="G50" s="105">
        <v>74821</v>
      </c>
      <c r="H50" s="105">
        <v>70313</v>
      </c>
      <c r="I50" s="288">
        <f>(H50/G50)*100</f>
        <v>93.9749535558199</v>
      </c>
      <c r="J50" s="287"/>
      <c r="K50" s="105"/>
      <c r="L50" s="105"/>
      <c r="M50" s="259"/>
      <c r="N50" s="144"/>
      <c r="O50" s="144"/>
      <c r="P50" s="144"/>
      <c r="Q50" s="66"/>
    </row>
    <row r="51" spans="1:17" ht="12.75">
      <c r="A51" s="110">
        <v>24</v>
      </c>
      <c r="B51" s="1155" t="s">
        <v>335</v>
      </c>
      <c r="C51" s="1042"/>
      <c r="D51" s="1042"/>
      <c r="E51" s="1042"/>
      <c r="F51" s="287"/>
      <c r="G51" s="105"/>
      <c r="H51" s="105"/>
      <c r="I51" s="288"/>
      <c r="J51" s="287"/>
      <c r="K51" s="105"/>
      <c r="L51" s="105"/>
      <c r="M51" s="259"/>
      <c r="N51" s="144">
        <v>2000</v>
      </c>
      <c r="O51" s="144">
        <v>2000</v>
      </c>
      <c r="P51" s="144">
        <v>1600</v>
      </c>
      <c r="Q51" s="259">
        <f>(P51/O51)*100</f>
        <v>80</v>
      </c>
    </row>
    <row r="52" spans="1:17" ht="12.75">
      <c r="A52" s="110">
        <v>25</v>
      </c>
      <c r="B52" s="1155" t="s">
        <v>334</v>
      </c>
      <c r="C52" s="1042"/>
      <c r="D52" s="1042"/>
      <c r="E52" s="1239"/>
      <c r="F52" s="105"/>
      <c r="G52" s="105"/>
      <c r="H52" s="105"/>
      <c r="I52" s="288"/>
      <c r="J52" s="287"/>
      <c r="K52" s="105"/>
      <c r="L52" s="105"/>
      <c r="M52" s="259"/>
      <c r="N52" s="255"/>
      <c r="O52" s="255"/>
      <c r="P52" s="255"/>
      <c r="Q52" s="255"/>
    </row>
    <row r="53" spans="1:17" ht="12.75">
      <c r="A53" s="110">
        <v>26</v>
      </c>
      <c r="B53" s="1272" t="s">
        <v>333</v>
      </c>
      <c r="C53" s="1272"/>
      <c r="D53" s="1272"/>
      <c r="E53" s="1275"/>
      <c r="F53" s="105"/>
      <c r="G53" s="105"/>
      <c r="H53" s="105"/>
      <c r="I53" s="288"/>
      <c r="J53" s="287"/>
      <c r="K53" s="105"/>
      <c r="L53" s="105"/>
      <c r="M53" s="259"/>
      <c r="N53" s="144"/>
      <c r="O53" s="144"/>
      <c r="P53" s="144"/>
      <c r="Q53" s="66"/>
    </row>
    <row r="54" spans="1:17" ht="12.75">
      <c r="A54" s="110">
        <v>27</v>
      </c>
      <c r="B54" s="1155" t="s">
        <v>332</v>
      </c>
      <c r="C54" s="1042"/>
      <c r="D54" s="1042"/>
      <c r="E54" s="1239"/>
      <c r="F54" s="105">
        <v>2142</v>
      </c>
      <c r="G54" s="105">
        <v>2142</v>
      </c>
      <c r="H54" s="105">
        <v>764</v>
      </c>
      <c r="I54" s="288">
        <f aca="true" t="shared" si="5" ref="I54:I61">(H54/G54)*100</f>
        <v>35.66760037348273</v>
      </c>
      <c r="J54" s="287"/>
      <c r="K54" s="105"/>
      <c r="L54" s="105"/>
      <c r="M54" s="259"/>
      <c r="N54" s="144"/>
      <c r="O54" s="144"/>
      <c r="P54" s="144"/>
      <c r="Q54" s="66"/>
    </row>
    <row r="55" spans="1:17" ht="12.75">
      <c r="A55" s="110">
        <v>28</v>
      </c>
      <c r="B55" s="1155" t="s">
        <v>378</v>
      </c>
      <c r="C55" s="1042"/>
      <c r="D55" s="1042"/>
      <c r="E55" s="1239"/>
      <c r="F55" s="105">
        <v>1080</v>
      </c>
      <c r="G55" s="105">
        <v>1080</v>
      </c>
      <c r="H55" s="105">
        <v>215</v>
      </c>
      <c r="I55" s="288">
        <f t="shared" si="5"/>
        <v>19.90740740740741</v>
      </c>
      <c r="J55" s="287"/>
      <c r="K55" s="105"/>
      <c r="L55" s="105"/>
      <c r="M55" s="259"/>
      <c r="N55" s="144"/>
      <c r="O55" s="144"/>
      <c r="P55" s="144"/>
      <c r="Q55" s="66"/>
    </row>
    <row r="56" spans="1:17" ht="14.25" customHeight="1">
      <c r="A56" s="110">
        <v>29</v>
      </c>
      <c r="B56" s="1155" t="s">
        <v>377</v>
      </c>
      <c r="C56" s="1042"/>
      <c r="D56" s="1042"/>
      <c r="E56" s="1239"/>
      <c r="F56" s="105">
        <v>12980</v>
      </c>
      <c r="G56" s="105">
        <v>12980</v>
      </c>
      <c r="H56" s="105">
        <v>9807</v>
      </c>
      <c r="I56" s="288">
        <f t="shared" si="5"/>
        <v>75.55469953775038</v>
      </c>
      <c r="J56" s="287"/>
      <c r="K56" s="105"/>
      <c r="L56" s="105"/>
      <c r="M56" s="259"/>
      <c r="N56" s="144"/>
      <c r="O56" s="144"/>
      <c r="P56" s="144"/>
      <c r="Q56" s="66"/>
    </row>
    <row r="57" spans="1:17" ht="12.75" hidden="1">
      <c r="A57" s="110">
        <v>30</v>
      </c>
      <c r="B57" s="1155" t="s">
        <v>376</v>
      </c>
      <c r="C57" s="1042"/>
      <c r="D57" s="1042"/>
      <c r="E57" s="1042"/>
      <c r="F57" s="144"/>
      <c r="G57" s="105"/>
      <c r="H57" s="105"/>
      <c r="I57" s="259" t="e">
        <f t="shared" si="5"/>
        <v>#DIV/0!</v>
      </c>
      <c r="J57" s="105"/>
      <c r="K57" s="105"/>
      <c r="L57" s="105"/>
      <c r="M57" s="259"/>
      <c r="N57" s="144"/>
      <c r="O57" s="144"/>
      <c r="P57" s="144"/>
      <c r="Q57" s="66"/>
    </row>
    <row r="58" spans="1:17" ht="12.75">
      <c r="A58" s="110">
        <v>31</v>
      </c>
      <c r="B58" s="1155" t="s">
        <v>329</v>
      </c>
      <c r="C58" s="1042"/>
      <c r="D58" s="1042"/>
      <c r="E58" s="1239"/>
      <c r="F58" s="105">
        <v>770</v>
      </c>
      <c r="G58" s="105">
        <v>770</v>
      </c>
      <c r="H58" s="105">
        <v>518</v>
      </c>
      <c r="I58" s="288">
        <f t="shared" si="5"/>
        <v>67.27272727272727</v>
      </c>
      <c r="J58" s="287"/>
      <c r="K58" s="105"/>
      <c r="L58" s="105"/>
      <c r="M58" s="259"/>
      <c r="N58" s="144"/>
      <c r="O58" s="144"/>
      <c r="P58" s="144"/>
      <c r="Q58" s="66"/>
    </row>
    <row r="59" spans="1:17" ht="12.75">
      <c r="A59" s="110">
        <v>32</v>
      </c>
      <c r="B59" s="1155" t="s">
        <v>328</v>
      </c>
      <c r="C59" s="1042"/>
      <c r="D59" s="1042"/>
      <c r="E59" s="1239"/>
      <c r="F59" s="105">
        <v>5050</v>
      </c>
      <c r="G59" s="105">
        <v>5050</v>
      </c>
      <c r="H59" s="105">
        <v>4616</v>
      </c>
      <c r="I59" s="288">
        <f t="shared" si="5"/>
        <v>91.40594059405942</v>
      </c>
      <c r="J59" s="287"/>
      <c r="K59" s="105"/>
      <c r="L59" s="105"/>
      <c r="M59" s="259"/>
      <c r="N59" s="144"/>
      <c r="O59" s="144"/>
      <c r="P59" s="144"/>
      <c r="Q59" s="66"/>
    </row>
    <row r="60" spans="1:17" ht="12.75">
      <c r="A60" s="110">
        <v>33</v>
      </c>
      <c r="B60" s="1155" t="s">
        <v>375</v>
      </c>
      <c r="C60" s="1042"/>
      <c r="D60" s="1042"/>
      <c r="E60" s="1239"/>
      <c r="F60" s="105">
        <v>240</v>
      </c>
      <c r="G60" s="105">
        <v>240</v>
      </c>
      <c r="H60" s="105">
        <v>233</v>
      </c>
      <c r="I60" s="288">
        <f t="shared" si="5"/>
        <v>97.08333333333333</v>
      </c>
      <c r="J60" s="287"/>
      <c r="K60" s="105"/>
      <c r="L60" s="105"/>
      <c r="M60" s="259"/>
      <c r="N60" s="144"/>
      <c r="O60" s="144"/>
      <c r="P60" s="144"/>
      <c r="Q60" s="66"/>
    </row>
    <row r="61" spans="1:17" ht="12.75">
      <c r="A61" s="110">
        <v>34</v>
      </c>
      <c r="B61" s="1155" t="s">
        <v>374</v>
      </c>
      <c r="C61" s="1042"/>
      <c r="D61" s="1042"/>
      <c r="E61" s="1239"/>
      <c r="F61" s="105">
        <v>24010</v>
      </c>
      <c r="G61" s="105">
        <v>24010</v>
      </c>
      <c r="H61" s="105">
        <v>24559</v>
      </c>
      <c r="I61" s="288">
        <f t="shared" si="5"/>
        <v>102.28654727197002</v>
      </c>
      <c r="J61" s="287"/>
      <c r="K61" s="105"/>
      <c r="L61" s="105"/>
      <c r="M61" s="259"/>
      <c r="N61" s="144"/>
      <c r="O61" s="144"/>
      <c r="P61" s="144"/>
      <c r="Q61" s="66"/>
    </row>
    <row r="62" spans="1:17" ht="12.75">
      <c r="A62" s="110">
        <v>35</v>
      </c>
      <c r="B62" s="1155" t="s">
        <v>373</v>
      </c>
      <c r="C62" s="1042"/>
      <c r="D62" s="1042"/>
      <c r="E62" s="1239"/>
      <c r="F62" s="105"/>
      <c r="G62" s="105"/>
      <c r="H62" s="105"/>
      <c r="I62" s="288"/>
      <c r="J62" s="287"/>
      <c r="K62" s="105"/>
      <c r="L62" s="105"/>
      <c r="M62" s="259"/>
      <c r="N62" s="144"/>
      <c r="O62" s="144"/>
      <c r="P62" s="144"/>
      <c r="Q62" s="66"/>
    </row>
    <row r="63" spans="1:17" ht="12.75">
      <c r="A63" s="110">
        <v>36</v>
      </c>
      <c r="B63" s="1155" t="s">
        <v>372</v>
      </c>
      <c r="C63" s="1042"/>
      <c r="D63" s="1042"/>
      <c r="E63" s="1239"/>
      <c r="F63" s="105">
        <v>2624</v>
      </c>
      <c r="G63" s="105">
        <v>2624</v>
      </c>
      <c r="H63" s="105">
        <v>1574</v>
      </c>
      <c r="I63" s="288">
        <f>(H63/G63)*100</f>
        <v>59.984756097560975</v>
      </c>
      <c r="J63" s="287"/>
      <c r="K63" s="105"/>
      <c r="L63" s="105"/>
      <c r="M63" s="259"/>
      <c r="N63" s="144"/>
      <c r="O63" s="144"/>
      <c r="P63" s="144"/>
      <c r="Q63" s="66"/>
    </row>
    <row r="64" spans="1:17" ht="12.75">
      <c r="A64" s="110">
        <v>37</v>
      </c>
      <c r="B64" s="1155" t="s">
        <v>371</v>
      </c>
      <c r="C64" s="1042"/>
      <c r="D64" s="1042"/>
      <c r="E64" s="1239"/>
      <c r="F64" s="105"/>
      <c r="G64" s="105">
        <v>650</v>
      </c>
      <c r="H64" s="105">
        <v>487</v>
      </c>
      <c r="I64" s="288">
        <f>(H64/G64)*100</f>
        <v>74.92307692307692</v>
      </c>
      <c r="J64" s="287"/>
      <c r="K64" s="105"/>
      <c r="L64" s="105"/>
      <c r="M64" s="259"/>
      <c r="N64" s="144"/>
      <c r="O64" s="144"/>
      <c r="P64" s="144"/>
      <c r="Q64" s="66"/>
    </row>
    <row r="65" spans="1:17" ht="12.75">
      <c r="A65" s="110">
        <v>38</v>
      </c>
      <c r="B65" s="1155" t="s">
        <v>322</v>
      </c>
      <c r="C65" s="1042"/>
      <c r="D65" s="1042"/>
      <c r="E65" s="1239"/>
      <c r="F65" s="105"/>
      <c r="G65" s="105"/>
      <c r="H65" s="105"/>
      <c r="I65" s="288"/>
      <c r="J65" s="287">
        <v>18838</v>
      </c>
      <c r="K65" s="105">
        <v>20445</v>
      </c>
      <c r="L65" s="105">
        <v>19453</v>
      </c>
      <c r="M65" s="259">
        <f>(L65/K65)*100</f>
        <v>95.14795793592566</v>
      </c>
      <c r="N65" s="144"/>
      <c r="O65" s="144"/>
      <c r="P65" s="144"/>
      <c r="Q65" s="66"/>
    </row>
    <row r="66" spans="1:17" ht="12.75">
      <c r="A66" s="110">
        <v>39</v>
      </c>
      <c r="B66" s="1155" t="s">
        <v>321</v>
      </c>
      <c r="C66" s="1042"/>
      <c r="D66" s="1042"/>
      <c r="E66" s="1239"/>
      <c r="F66" s="105"/>
      <c r="G66" s="105"/>
      <c r="H66" s="105"/>
      <c r="I66" s="288"/>
      <c r="J66" s="287"/>
      <c r="K66" s="105"/>
      <c r="L66" s="105"/>
      <c r="M66" s="259"/>
      <c r="N66" s="144"/>
      <c r="O66" s="144"/>
      <c r="P66" s="144"/>
      <c r="Q66" s="66"/>
    </row>
    <row r="67" spans="1:17" ht="12.75">
      <c r="A67" s="110">
        <v>40</v>
      </c>
      <c r="B67" s="1155" t="s">
        <v>320</v>
      </c>
      <c r="C67" s="1042"/>
      <c r="D67" s="1042"/>
      <c r="E67" s="1239"/>
      <c r="F67" s="105"/>
      <c r="G67" s="105">
        <v>297</v>
      </c>
      <c r="H67" s="105">
        <v>187</v>
      </c>
      <c r="I67" s="288">
        <f>(H67/G67)*100</f>
        <v>62.96296296296296</v>
      </c>
      <c r="J67" s="287"/>
      <c r="K67" s="105"/>
      <c r="L67" s="105"/>
      <c r="M67" s="259"/>
      <c r="N67" s="144"/>
      <c r="O67" s="144"/>
      <c r="P67" s="144"/>
      <c r="Q67" s="66"/>
    </row>
    <row r="68" spans="1:17" ht="12.75">
      <c r="A68" s="110">
        <v>41</v>
      </c>
      <c r="B68" s="1155" t="s">
        <v>319</v>
      </c>
      <c r="C68" s="1042"/>
      <c r="D68" s="1042"/>
      <c r="E68" s="1239"/>
      <c r="F68" s="105"/>
      <c r="G68" s="105"/>
      <c r="H68" s="105"/>
      <c r="I68" s="288"/>
      <c r="J68" s="290"/>
      <c r="K68" s="144"/>
      <c r="L68" s="105"/>
      <c r="M68" s="259"/>
      <c r="N68" s="144"/>
      <c r="O68" s="144"/>
      <c r="P68" s="144"/>
      <c r="Q68" s="66"/>
    </row>
    <row r="69" spans="1:17" ht="12.75">
      <c r="A69" s="110">
        <v>42</v>
      </c>
      <c r="B69" s="1155" t="s">
        <v>318</v>
      </c>
      <c r="C69" s="1042"/>
      <c r="D69" s="1042"/>
      <c r="E69" s="1239"/>
      <c r="F69" s="105"/>
      <c r="G69" s="105"/>
      <c r="H69" s="289"/>
      <c r="I69" s="66"/>
      <c r="J69" s="105"/>
      <c r="K69" s="105"/>
      <c r="L69" s="105"/>
      <c r="M69" s="259"/>
      <c r="N69" s="144"/>
      <c r="O69" s="144"/>
      <c r="P69" s="144"/>
      <c r="Q69" s="66"/>
    </row>
    <row r="70" spans="1:17" ht="12.75">
      <c r="A70" s="110">
        <v>43</v>
      </c>
      <c r="B70" s="1155" t="s">
        <v>317</v>
      </c>
      <c r="C70" s="1042"/>
      <c r="D70" s="1042"/>
      <c r="E70" s="1239"/>
      <c r="F70" s="105"/>
      <c r="G70" s="105"/>
      <c r="H70" s="105"/>
      <c r="I70" s="288"/>
      <c r="J70" s="287"/>
      <c r="K70" s="105"/>
      <c r="L70" s="105"/>
      <c r="M70" s="259"/>
      <c r="N70" s="144"/>
      <c r="O70" s="144"/>
      <c r="P70" s="144"/>
      <c r="Q70" s="66"/>
    </row>
    <row r="71" spans="1:17" ht="13.5" thickBot="1">
      <c r="A71" s="110">
        <v>44</v>
      </c>
      <c r="B71" s="1276" t="s">
        <v>370</v>
      </c>
      <c r="C71" s="1277"/>
      <c r="D71" s="1277"/>
      <c r="E71" s="1278"/>
      <c r="F71" s="284"/>
      <c r="G71" s="284"/>
      <c r="H71" s="284"/>
      <c r="I71" s="286"/>
      <c r="J71" s="285"/>
      <c r="K71" s="284"/>
      <c r="L71" s="284"/>
      <c r="M71" s="283"/>
      <c r="N71" s="282">
        <v>32296</v>
      </c>
      <c r="O71" s="282">
        <v>32165</v>
      </c>
      <c r="P71" s="264">
        <v>28104</v>
      </c>
      <c r="Q71" s="67">
        <f>(P71/O71)*100</f>
        <v>87.3744753614177</v>
      </c>
    </row>
    <row r="72" spans="1:17" ht="13.5" thickBot="1">
      <c r="A72" s="110">
        <v>45</v>
      </c>
      <c r="B72" s="1274" t="s">
        <v>315</v>
      </c>
      <c r="C72" s="1279"/>
      <c r="D72" s="1279"/>
      <c r="E72" s="1279"/>
      <c r="F72" s="280">
        <f>F50+F52+F54+F55+F56+F58+F59+F60+F61+F62+F63+F64+F65+F66+F67+F68+F69+F70+F71</f>
        <v>109231</v>
      </c>
      <c r="G72" s="279">
        <f>G50+G52+G54+G55+G56+G58+G59+G60+G61+G62+G63+G64+G65+G66+G67+G68+G69+G70+G71</f>
        <v>124664</v>
      </c>
      <c r="H72" s="247">
        <f>H50+H52+H54+H55+H56+H58+H59+H60+H61+H62+H63+H64+H65+H66+H67+H68+H69+H70+H71</f>
        <v>113273</v>
      </c>
      <c r="I72" s="278">
        <f>(H72/G72)*100</f>
        <v>90.86263877302189</v>
      </c>
      <c r="J72" s="249">
        <f>SUM(J52:J71)</f>
        <v>18838</v>
      </c>
      <c r="K72" s="249">
        <f>SUM(K52:K71)</f>
        <v>20445</v>
      </c>
      <c r="L72" s="249">
        <f>SUM(L52:L71)</f>
        <v>19453</v>
      </c>
      <c r="M72" s="277">
        <f>(L72/K72)*100</f>
        <v>95.14795793592566</v>
      </c>
      <c r="N72" s="249">
        <f>SUM(N50:N71)</f>
        <v>34296</v>
      </c>
      <c r="O72" s="249">
        <f>SUM(O50:O71)</f>
        <v>34165</v>
      </c>
      <c r="P72" s="276">
        <f>SUM(P50:P71)</f>
        <v>29704</v>
      </c>
      <c r="Q72" s="246">
        <f>(P72/O72)*100</f>
        <v>86.942777696473</v>
      </c>
    </row>
    <row r="73" spans="7:17" ht="12.75"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7:17" ht="12.75"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84" spans="1:16" ht="12.75">
      <c r="A84" s="1158" t="s">
        <v>369</v>
      </c>
      <c r="B84" s="1158"/>
      <c r="C84" s="1158"/>
      <c r="D84" s="1158"/>
      <c r="E84" s="1158"/>
      <c r="F84" s="1158"/>
      <c r="G84" s="1158"/>
      <c r="H84" s="1158"/>
      <c r="I84" s="1158"/>
      <c r="J84" s="1158"/>
      <c r="K84" s="1158"/>
      <c r="L84" s="1158"/>
      <c r="M84" s="1158"/>
      <c r="N84" s="1158"/>
      <c r="O84" s="1158"/>
      <c r="P84" s="1158"/>
    </row>
    <row r="85" spans="2:16" ht="19.5" customHeight="1">
      <c r="B85" s="1097" t="s">
        <v>368</v>
      </c>
      <c r="C85" s="1097"/>
      <c r="D85" s="1097"/>
      <c r="E85" s="1097"/>
      <c r="F85" s="1097"/>
      <c r="G85" s="1097"/>
      <c r="H85" s="1097"/>
      <c r="I85" s="1097"/>
      <c r="J85" s="1097"/>
      <c r="K85" s="1097"/>
      <c r="L85" s="1097"/>
      <c r="M85" s="1097"/>
      <c r="N85" s="1097"/>
      <c r="O85" s="1097"/>
      <c r="P85" s="1097"/>
    </row>
    <row r="86" spans="2:15" ht="12.75">
      <c r="B86" s="1236" t="s">
        <v>367</v>
      </c>
      <c r="C86" s="1158"/>
      <c r="D86" s="1158"/>
      <c r="E86" s="1158"/>
      <c r="F86" s="1158"/>
      <c r="G86" s="1158"/>
      <c r="H86" s="1158"/>
      <c r="I86" s="1158"/>
      <c r="J86" s="1158"/>
      <c r="K86" s="1158"/>
      <c r="L86" s="1158"/>
      <c r="M86" s="1158"/>
      <c r="N86" s="1158"/>
      <c r="O86" s="1158"/>
    </row>
    <row r="87" spans="17:18" ht="12.75">
      <c r="Q87" s="275" t="s">
        <v>121</v>
      </c>
      <c r="R87" s="275"/>
    </row>
    <row r="88" spans="1:17" ht="12.75">
      <c r="A88" s="1174"/>
      <c r="B88" s="1194" t="s">
        <v>366</v>
      </c>
      <c r="C88" s="1195"/>
      <c r="D88" s="1195"/>
      <c r="E88" s="1196"/>
      <c r="F88" s="272" t="s">
        <v>365</v>
      </c>
      <c r="G88" s="272" t="s">
        <v>364</v>
      </c>
      <c r="H88" s="272" t="s">
        <v>363</v>
      </c>
      <c r="I88" s="274" t="s">
        <v>362</v>
      </c>
      <c r="J88" s="273" t="s">
        <v>361</v>
      </c>
      <c r="K88" s="272" t="s">
        <v>360</v>
      </c>
      <c r="L88" s="272" t="s">
        <v>359</v>
      </c>
      <c r="M88" s="272" t="s">
        <v>358</v>
      </c>
      <c r="N88" s="272" t="s">
        <v>357</v>
      </c>
      <c r="O88" s="272" t="s">
        <v>356</v>
      </c>
      <c r="P88" s="272" t="s">
        <v>355</v>
      </c>
      <c r="Q88" s="272" t="s">
        <v>354</v>
      </c>
    </row>
    <row r="89" spans="1:17" ht="12.75">
      <c r="A89" s="1175"/>
      <c r="B89" s="1245" t="s">
        <v>353</v>
      </c>
      <c r="C89" s="1246"/>
      <c r="D89" s="1246"/>
      <c r="E89" s="1247"/>
      <c r="F89" s="1284" t="s">
        <v>352</v>
      </c>
      <c r="G89" s="1195"/>
      <c r="H89" s="1195"/>
      <c r="I89" s="1195"/>
      <c r="J89" s="1195"/>
      <c r="K89" s="1195"/>
      <c r="L89" s="1195"/>
      <c r="M89" s="1195"/>
      <c r="N89" s="1195"/>
      <c r="O89" s="1195"/>
      <c r="P89" s="1195"/>
      <c r="Q89" s="1285"/>
    </row>
    <row r="90" spans="1:17" ht="13.5" customHeight="1">
      <c r="A90" s="1175"/>
      <c r="B90" s="1248"/>
      <c r="C90" s="1249"/>
      <c r="D90" s="1249"/>
      <c r="E90" s="1250"/>
      <c r="F90" s="1257" t="s">
        <v>351</v>
      </c>
      <c r="G90" s="1241"/>
      <c r="H90" s="1241"/>
      <c r="I90" s="1242"/>
      <c r="J90" s="1257" t="s">
        <v>350</v>
      </c>
      <c r="K90" s="1241"/>
      <c r="L90" s="1241"/>
      <c r="M90" s="1241"/>
      <c r="N90" s="1241" t="s">
        <v>349</v>
      </c>
      <c r="O90" s="1241"/>
      <c r="P90" s="1241"/>
      <c r="Q90" s="1242"/>
    </row>
    <row r="91" spans="1:17" ht="12.75">
      <c r="A91" s="1175"/>
      <c r="B91" s="1248"/>
      <c r="C91" s="1249"/>
      <c r="D91" s="1249"/>
      <c r="E91" s="1250"/>
      <c r="F91" s="268" t="s">
        <v>0</v>
      </c>
      <c r="G91" s="267" t="s">
        <v>1</v>
      </c>
      <c r="H91" s="1243" t="s">
        <v>2</v>
      </c>
      <c r="I91" s="1244"/>
      <c r="J91" s="268" t="s">
        <v>0</v>
      </c>
      <c r="K91" s="267" t="s">
        <v>1</v>
      </c>
      <c r="L91" s="1243" t="s">
        <v>2</v>
      </c>
      <c r="M91" s="1243"/>
      <c r="N91" s="267" t="s">
        <v>0</v>
      </c>
      <c r="O91" s="267" t="s">
        <v>1</v>
      </c>
      <c r="P91" s="1243" t="s">
        <v>2</v>
      </c>
      <c r="Q91" s="1244"/>
    </row>
    <row r="92" spans="1:17" ht="12.75">
      <c r="A92" s="1175"/>
      <c r="B92" s="1251"/>
      <c r="C92" s="1252"/>
      <c r="D92" s="1252"/>
      <c r="E92" s="1253"/>
      <c r="F92" s="1258" t="s">
        <v>3</v>
      </c>
      <c r="G92" s="1243"/>
      <c r="H92" s="267" t="s">
        <v>119</v>
      </c>
      <c r="I92" s="265" t="s">
        <v>21</v>
      </c>
      <c r="J92" s="1258" t="s">
        <v>3</v>
      </c>
      <c r="K92" s="1243"/>
      <c r="L92" s="266" t="s">
        <v>119</v>
      </c>
      <c r="M92" s="151" t="s">
        <v>21</v>
      </c>
      <c r="N92" s="1243" t="s">
        <v>3</v>
      </c>
      <c r="O92" s="1243"/>
      <c r="P92" s="266" t="s">
        <v>119</v>
      </c>
      <c r="Q92" s="265" t="s">
        <v>21</v>
      </c>
    </row>
    <row r="93" spans="1:17" ht="12.75">
      <c r="A93" s="1176"/>
      <c r="B93" s="1286"/>
      <c r="C93" s="1287"/>
      <c r="D93" s="1287"/>
      <c r="E93" s="1288"/>
      <c r="F93" s="262" t="s">
        <v>348</v>
      </c>
      <c r="G93" s="153" t="s">
        <v>347</v>
      </c>
      <c r="H93" s="153" t="s">
        <v>346</v>
      </c>
      <c r="I93" s="261" t="s">
        <v>345</v>
      </c>
      <c r="J93" s="262" t="s">
        <v>344</v>
      </c>
      <c r="K93" s="153" t="s">
        <v>343</v>
      </c>
      <c r="L93" s="153" t="s">
        <v>342</v>
      </c>
      <c r="M93" s="153" t="s">
        <v>341</v>
      </c>
      <c r="N93" s="153" t="s">
        <v>340</v>
      </c>
      <c r="O93" s="153" t="s">
        <v>339</v>
      </c>
      <c r="P93" s="153" t="s">
        <v>338</v>
      </c>
      <c r="Q93" s="261" t="s">
        <v>337</v>
      </c>
    </row>
    <row r="94" spans="1:17" s="260" customFormat="1" ht="11.25">
      <c r="A94" s="110">
        <v>46</v>
      </c>
      <c r="B94" s="1051" t="s">
        <v>336</v>
      </c>
      <c r="C94" s="1051"/>
      <c r="D94" s="1051"/>
      <c r="E94" s="1240"/>
      <c r="F94" s="105">
        <v>3100</v>
      </c>
      <c r="G94" s="144">
        <v>23100</v>
      </c>
      <c r="H94" s="144">
        <v>3549</v>
      </c>
      <c r="I94" s="118">
        <f>(H94/G94)*100</f>
        <v>15.363636363636363</v>
      </c>
      <c r="J94" s="105">
        <v>431450</v>
      </c>
      <c r="K94" s="144">
        <v>443325</v>
      </c>
      <c r="L94" s="144">
        <v>32797</v>
      </c>
      <c r="M94" s="259">
        <f>(L94/K94)*100</f>
        <v>7.397958608244516</v>
      </c>
      <c r="N94" s="144"/>
      <c r="O94" s="144"/>
      <c r="P94" s="144"/>
      <c r="Q94" s="66"/>
    </row>
    <row r="95" spans="1:17" ht="12.75">
      <c r="A95" s="110">
        <v>47</v>
      </c>
      <c r="B95" s="1051" t="s">
        <v>335</v>
      </c>
      <c r="C95" s="1051"/>
      <c r="D95" s="1051"/>
      <c r="E95" s="1240"/>
      <c r="F95" s="105"/>
      <c r="G95" s="144"/>
      <c r="H95" s="255"/>
      <c r="I95" s="148"/>
      <c r="J95" s="256"/>
      <c r="K95" s="255"/>
      <c r="L95" s="255"/>
      <c r="M95" s="255"/>
      <c r="N95" s="144"/>
      <c r="O95" s="144"/>
      <c r="P95" s="144"/>
      <c r="Q95" s="66"/>
    </row>
    <row r="96" spans="1:17" ht="12.75">
      <c r="A96" s="110">
        <v>48</v>
      </c>
      <c r="B96" s="1051" t="s">
        <v>334</v>
      </c>
      <c r="C96" s="1051"/>
      <c r="D96" s="1051"/>
      <c r="E96" s="1240"/>
      <c r="F96" s="105"/>
      <c r="G96" s="144"/>
      <c r="H96" s="255"/>
      <c r="I96" s="148"/>
      <c r="J96" s="105"/>
      <c r="K96" s="144"/>
      <c r="L96" s="144"/>
      <c r="M96" s="259"/>
      <c r="N96" s="144"/>
      <c r="O96" s="144"/>
      <c r="P96" s="144"/>
      <c r="Q96" s="66"/>
    </row>
    <row r="97" spans="1:17" ht="12.75">
      <c r="A97" s="110">
        <v>49</v>
      </c>
      <c r="B97" s="1272" t="s">
        <v>333</v>
      </c>
      <c r="C97" s="1272"/>
      <c r="D97" s="1272"/>
      <c r="E97" s="1275"/>
      <c r="F97" s="105"/>
      <c r="G97" s="144">
        <v>2500</v>
      </c>
      <c r="H97" s="119">
        <v>2500</v>
      </c>
      <c r="I97" s="172">
        <f>H97/G97*100</f>
        <v>100</v>
      </c>
      <c r="J97" s="256"/>
      <c r="K97" s="255"/>
      <c r="L97" s="255"/>
      <c r="M97" s="255"/>
      <c r="N97" s="144"/>
      <c r="O97" s="144"/>
      <c r="P97" s="144"/>
      <c r="Q97" s="66"/>
    </row>
    <row r="98" spans="1:17" ht="12.75">
      <c r="A98" s="110">
        <v>50</v>
      </c>
      <c r="B98" s="1051" t="s">
        <v>332</v>
      </c>
      <c r="C98" s="1051"/>
      <c r="D98" s="1051"/>
      <c r="E98" s="1240"/>
      <c r="F98" s="105">
        <v>1000</v>
      </c>
      <c r="G98" s="144">
        <v>1000</v>
      </c>
      <c r="H98" s="119">
        <v>6168</v>
      </c>
      <c r="I98" s="66">
        <f>H98/G98*100</f>
        <v>616.8000000000001</v>
      </c>
      <c r="J98" s="105"/>
      <c r="K98" s="144"/>
      <c r="L98" s="144"/>
      <c r="M98" s="259"/>
      <c r="N98" s="144"/>
      <c r="O98" s="144"/>
      <c r="P98" s="144"/>
      <c r="Q98" s="66"/>
    </row>
    <row r="99" spans="1:17" ht="12.75">
      <c r="A99" s="110">
        <v>51</v>
      </c>
      <c r="B99" s="1051" t="s">
        <v>331</v>
      </c>
      <c r="C99" s="1051"/>
      <c r="D99" s="1051"/>
      <c r="E99" s="1240"/>
      <c r="F99" s="105"/>
      <c r="G99" s="144"/>
      <c r="H99" s="255"/>
      <c r="I99" s="148"/>
      <c r="J99" s="256"/>
      <c r="K99" s="255"/>
      <c r="L99" s="255"/>
      <c r="M99" s="255"/>
      <c r="N99" s="144"/>
      <c r="O99" s="144"/>
      <c r="P99" s="144"/>
      <c r="Q99" s="66"/>
    </row>
    <row r="100" spans="1:17" ht="12.75">
      <c r="A100" s="110">
        <v>52</v>
      </c>
      <c r="B100" s="1051" t="s">
        <v>330</v>
      </c>
      <c r="C100" s="1051"/>
      <c r="D100" s="1051"/>
      <c r="E100" s="1240"/>
      <c r="F100" s="105"/>
      <c r="G100" s="144"/>
      <c r="H100" s="255"/>
      <c r="I100" s="148"/>
      <c r="J100" s="257">
        <v>6000</v>
      </c>
      <c r="K100" s="119">
        <v>6000</v>
      </c>
      <c r="L100" s="144">
        <v>74</v>
      </c>
      <c r="M100" s="255"/>
      <c r="N100" s="144"/>
      <c r="O100" s="144"/>
      <c r="P100" s="144"/>
      <c r="Q100" s="66"/>
    </row>
    <row r="101" spans="1:17" ht="12.75">
      <c r="A101" s="110">
        <v>53</v>
      </c>
      <c r="B101" s="1051" t="s">
        <v>329</v>
      </c>
      <c r="C101" s="1051"/>
      <c r="D101" s="1051"/>
      <c r="E101" s="1240"/>
      <c r="F101" s="256"/>
      <c r="G101" s="255"/>
      <c r="H101" s="255"/>
      <c r="I101" s="148"/>
      <c r="J101" s="257"/>
      <c r="K101" s="255"/>
      <c r="L101" s="255"/>
      <c r="M101" s="255"/>
      <c r="N101" s="144"/>
      <c r="O101" s="144"/>
      <c r="P101" s="144"/>
      <c r="Q101" s="66"/>
    </row>
    <row r="102" spans="1:17" ht="12.75">
      <c r="A102" s="110">
        <v>54</v>
      </c>
      <c r="B102" s="1051" t="s">
        <v>328</v>
      </c>
      <c r="C102" s="1051"/>
      <c r="D102" s="1051"/>
      <c r="E102" s="1240"/>
      <c r="F102" s="133"/>
      <c r="G102" s="110"/>
      <c r="H102" s="110"/>
      <c r="I102" s="258"/>
      <c r="J102" s="257"/>
      <c r="K102" s="255"/>
      <c r="L102" s="255"/>
      <c r="M102" s="255"/>
      <c r="N102" s="144"/>
      <c r="O102" s="144"/>
      <c r="P102" s="144"/>
      <c r="Q102" s="66"/>
    </row>
    <row r="103" spans="1:17" ht="12.75">
      <c r="A103" s="110">
        <v>55</v>
      </c>
      <c r="B103" s="1051" t="s">
        <v>327</v>
      </c>
      <c r="C103" s="1051"/>
      <c r="D103" s="1051"/>
      <c r="E103" s="1240"/>
      <c r="F103" s="256"/>
      <c r="G103" s="255"/>
      <c r="H103" s="255"/>
      <c r="I103" s="148"/>
      <c r="J103" s="257"/>
      <c r="K103" s="255"/>
      <c r="L103" s="255"/>
      <c r="M103" s="255"/>
      <c r="N103" s="144"/>
      <c r="O103" s="144"/>
      <c r="P103" s="144"/>
      <c r="Q103" s="66"/>
    </row>
    <row r="104" spans="1:17" ht="12.75">
      <c r="A104" s="110">
        <v>56</v>
      </c>
      <c r="B104" s="1051" t="s">
        <v>326</v>
      </c>
      <c r="C104" s="1051"/>
      <c r="D104" s="1051"/>
      <c r="E104" s="1240"/>
      <c r="F104" s="256"/>
      <c r="G104" s="255"/>
      <c r="H104" s="255"/>
      <c r="I104" s="148"/>
      <c r="J104" s="257"/>
      <c r="K104" s="255"/>
      <c r="L104" s="255"/>
      <c r="M104" s="255"/>
      <c r="N104" s="144"/>
      <c r="O104" s="144"/>
      <c r="P104" s="144"/>
      <c r="Q104" s="66"/>
    </row>
    <row r="105" spans="1:17" ht="12.75">
      <c r="A105" s="110">
        <v>57</v>
      </c>
      <c r="B105" s="1051" t="s">
        <v>325</v>
      </c>
      <c r="C105" s="1051"/>
      <c r="D105" s="1051"/>
      <c r="E105" s="1240"/>
      <c r="F105" s="105">
        <v>4000</v>
      </c>
      <c r="G105" s="144">
        <v>4000</v>
      </c>
      <c r="H105" s="119"/>
      <c r="I105" s="66">
        <v>0</v>
      </c>
      <c r="J105" s="257"/>
      <c r="K105" s="119"/>
      <c r="L105" s="255"/>
      <c r="M105" s="255"/>
      <c r="N105" s="144"/>
      <c r="O105" s="144"/>
      <c r="P105" s="144"/>
      <c r="Q105" s="66"/>
    </row>
    <row r="106" spans="1:17" ht="12.75">
      <c r="A106" s="110">
        <v>58</v>
      </c>
      <c r="B106" s="1051" t="s">
        <v>324</v>
      </c>
      <c r="C106" s="1051"/>
      <c r="D106" s="1051"/>
      <c r="E106" s="1240"/>
      <c r="F106" s="105"/>
      <c r="G106" s="144"/>
      <c r="H106" s="255"/>
      <c r="I106" s="148"/>
      <c r="J106" s="257">
        <v>13117</v>
      </c>
      <c r="K106" s="119">
        <v>13117</v>
      </c>
      <c r="L106" s="255"/>
      <c r="M106" s="255"/>
      <c r="N106" s="144"/>
      <c r="O106" s="144"/>
      <c r="P106" s="144"/>
      <c r="Q106" s="66"/>
    </row>
    <row r="107" spans="1:17" ht="12.75">
      <c r="A107" s="110">
        <v>59</v>
      </c>
      <c r="B107" s="1051" t="s">
        <v>323</v>
      </c>
      <c r="C107" s="1051"/>
      <c r="D107" s="1051"/>
      <c r="E107" s="1240"/>
      <c r="F107" s="256"/>
      <c r="G107" s="255"/>
      <c r="H107" s="255"/>
      <c r="I107" s="148"/>
      <c r="J107" s="256"/>
      <c r="K107" s="255"/>
      <c r="L107" s="255"/>
      <c r="M107" s="255"/>
      <c r="N107" s="144"/>
      <c r="O107" s="144"/>
      <c r="P107" s="144"/>
      <c r="Q107" s="66"/>
    </row>
    <row r="108" spans="1:17" ht="12.75">
      <c r="A108" s="110">
        <v>60</v>
      </c>
      <c r="B108" s="1051" t="s">
        <v>322</v>
      </c>
      <c r="C108" s="1051"/>
      <c r="D108" s="1051"/>
      <c r="E108" s="1240"/>
      <c r="F108" s="256"/>
      <c r="G108" s="255"/>
      <c r="H108" s="255"/>
      <c r="I108" s="148"/>
      <c r="J108" s="256"/>
      <c r="K108" s="255"/>
      <c r="L108" s="255"/>
      <c r="M108" s="255"/>
      <c r="N108" s="144"/>
      <c r="O108" s="144"/>
      <c r="P108" s="144"/>
      <c r="Q108" s="66"/>
    </row>
    <row r="109" spans="1:17" ht="12.75">
      <c r="A109" s="110">
        <v>61</v>
      </c>
      <c r="B109" s="1051" t="s">
        <v>321</v>
      </c>
      <c r="C109" s="1051"/>
      <c r="D109" s="1051"/>
      <c r="E109" s="1240"/>
      <c r="F109" s="256"/>
      <c r="G109" s="255"/>
      <c r="H109" s="255"/>
      <c r="I109" s="148"/>
      <c r="J109" s="256"/>
      <c r="K109" s="255"/>
      <c r="L109" s="144"/>
      <c r="M109" s="255"/>
      <c r="N109" s="144"/>
      <c r="O109" s="144"/>
      <c r="P109" s="144"/>
      <c r="Q109" s="66"/>
    </row>
    <row r="110" spans="1:17" ht="12.75">
      <c r="A110" s="110">
        <v>62</v>
      </c>
      <c r="B110" s="1051" t="s">
        <v>320</v>
      </c>
      <c r="C110" s="1051"/>
      <c r="D110" s="1051"/>
      <c r="E110" s="1240"/>
      <c r="F110" s="256"/>
      <c r="G110" s="255"/>
      <c r="H110" s="255"/>
      <c r="I110" s="148"/>
      <c r="J110" s="256"/>
      <c r="K110" s="255"/>
      <c r="L110" s="255"/>
      <c r="M110" s="255"/>
      <c r="N110" s="144"/>
      <c r="O110" s="144"/>
      <c r="P110" s="144"/>
      <c r="Q110" s="66"/>
    </row>
    <row r="111" spans="1:17" ht="12.75">
      <c r="A111" s="110">
        <v>63</v>
      </c>
      <c r="B111" s="1051" t="s">
        <v>319</v>
      </c>
      <c r="C111" s="1051"/>
      <c r="D111" s="1051"/>
      <c r="E111" s="1240"/>
      <c r="F111" s="256"/>
      <c r="G111" s="255"/>
      <c r="H111" s="255"/>
      <c r="I111" s="148"/>
      <c r="J111" s="256"/>
      <c r="K111" s="255"/>
      <c r="L111" s="255"/>
      <c r="M111" s="255"/>
      <c r="N111" s="144"/>
      <c r="O111" s="144"/>
      <c r="P111" s="144"/>
      <c r="Q111" s="66"/>
    </row>
    <row r="112" spans="1:17" ht="12.75">
      <c r="A112" s="110">
        <v>64</v>
      </c>
      <c r="B112" s="1051" t="s">
        <v>318</v>
      </c>
      <c r="C112" s="1051"/>
      <c r="D112" s="1051"/>
      <c r="E112" s="1240"/>
      <c r="F112" s="256"/>
      <c r="G112" s="255"/>
      <c r="H112" s="255"/>
      <c r="I112" s="148"/>
      <c r="J112" s="257">
        <v>1000</v>
      </c>
      <c r="K112" s="119">
        <v>1000</v>
      </c>
      <c r="L112" s="119">
        <v>1160</v>
      </c>
      <c r="M112" s="255"/>
      <c r="N112" s="255"/>
      <c r="O112" s="255"/>
      <c r="P112" s="144"/>
      <c r="Q112" s="66"/>
    </row>
    <row r="113" spans="1:17" ht="12.75">
      <c r="A113" s="110">
        <v>65</v>
      </c>
      <c r="B113" s="1051" t="s">
        <v>317</v>
      </c>
      <c r="C113" s="1051"/>
      <c r="D113" s="1051"/>
      <c r="E113" s="1240"/>
      <c r="F113" s="256"/>
      <c r="G113" s="255"/>
      <c r="H113" s="255"/>
      <c r="I113" s="148"/>
      <c r="J113" s="256"/>
      <c r="K113" s="255"/>
      <c r="L113" s="255"/>
      <c r="M113" s="255"/>
      <c r="N113" s="144"/>
      <c r="O113" s="144">
        <v>75153</v>
      </c>
      <c r="P113" s="144"/>
      <c r="Q113" s="66"/>
    </row>
    <row r="114" spans="1:17" ht="13.5" thickBot="1">
      <c r="A114" s="110">
        <v>66</v>
      </c>
      <c r="B114" s="1270" t="s">
        <v>316</v>
      </c>
      <c r="C114" s="1270"/>
      <c r="D114" s="1270"/>
      <c r="E114" s="1271"/>
      <c r="F114" s="253"/>
      <c r="G114" s="136"/>
      <c r="H114" s="136"/>
      <c r="I114" s="254"/>
      <c r="J114" s="253"/>
      <c r="K114" s="136"/>
      <c r="L114" s="136"/>
      <c r="M114" s="136"/>
      <c r="N114" s="252"/>
      <c r="O114" s="252"/>
      <c r="P114" s="252"/>
      <c r="Q114" s="67"/>
    </row>
    <row r="115" spans="1:17" ht="13.5" thickBot="1">
      <c r="A115" s="110">
        <v>67</v>
      </c>
      <c r="B115" s="1267" t="s">
        <v>315</v>
      </c>
      <c r="C115" s="1268"/>
      <c r="D115" s="1268"/>
      <c r="E115" s="1269"/>
      <c r="F115" s="249">
        <f>SUM(F94:F114)</f>
        <v>8100</v>
      </c>
      <c r="G115" s="247">
        <f>SUM(G94:G114)</f>
        <v>30600</v>
      </c>
      <c r="H115" s="251">
        <f>SUM(H94:H114)</f>
        <v>12217</v>
      </c>
      <c r="I115" s="250">
        <f>(H115/G115)*100</f>
        <v>39.92483660130719</v>
      </c>
      <c r="J115" s="249">
        <f>J94+J98+J100+J106+J112</f>
        <v>451567</v>
      </c>
      <c r="K115" s="247">
        <f>SUM(K94:K114)</f>
        <v>463442</v>
      </c>
      <c r="L115" s="247">
        <f>SUM(L94:L114)</f>
        <v>34031</v>
      </c>
      <c r="M115" s="248">
        <f>(L115/K115)*100</f>
        <v>7.343097949689498</v>
      </c>
      <c r="N115" s="247">
        <f>SUM(N94:N114)</f>
        <v>0</v>
      </c>
      <c r="O115" s="247">
        <f>SUM(O94:O114)</f>
        <v>75153</v>
      </c>
      <c r="P115" s="247"/>
      <c r="Q115" s="246"/>
    </row>
    <row r="116" spans="7:16" ht="12.75"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</row>
    <row r="117" spans="7:16" ht="12.75"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</row>
    <row r="127" spans="3:10" ht="12.75">
      <c r="C127" s="1289"/>
      <c r="D127" s="1289"/>
      <c r="E127" s="1289"/>
      <c r="F127" s="1289"/>
      <c r="G127" s="1056"/>
      <c r="H127" s="1056"/>
      <c r="I127" s="1056"/>
      <c r="J127" s="1056"/>
    </row>
    <row r="128" spans="2:10" ht="12.75">
      <c r="B128" s="1249"/>
      <c r="C128" s="1289"/>
      <c r="D128" s="1289"/>
      <c r="E128" s="1289"/>
      <c r="F128" s="1289"/>
      <c r="G128" s="1292"/>
      <c r="H128" s="1292"/>
      <c r="I128" s="1292"/>
      <c r="J128" s="1292"/>
    </row>
    <row r="129" spans="2:10" ht="12.75">
      <c r="B129" s="1249"/>
      <c r="C129" s="1289"/>
      <c r="D129" s="1289"/>
      <c r="E129" s="1289"/>
      <c r="F129" s="1289"/>
      <c r="G129" s="244"/>
      <c r="H129" s="244"/>
      <c r="I129" s="1292"/>
      <c r="J129" s="1292"/>
    </row>
    <row r="130" spans="2:10" ht="12.75">
      <c r="B130" s="1249"/>
      <c r="C130" s="1289"/>
      <c r="D130" s="1289"/>
      <c r="E130" s="1289"/>
      <c r="F130" s="1289"/>
      <c r="G130" s="1292"/>
      <c r="H130" s="1292"/>
      <c r="I130" s="244"/>
      <c r="J130" s="243"/>
    </row>
    <row r="131" spans="2:10" ht="12.75">
      <c r="B131" s="1249"/>
      <c r="C131" s="1290"/>
      <c r="D131" s="1290"/>
      <c r="E131" s="1290"/>
      <c r="F131" s="1290"/>
      <c r="G131" s="6"/>
      <c r="H131" s="6"/>
      <c r="I131" s="6"/>
      <c r="J131" s="6"/>
    </row>
    <row r="132" spans="2:10" ht="12.75">
      <c r="B132" s="1249"/>
      <c r="C132" s="1291"/>
      <c r="D132" s="1291"/>
      <c r="E132" s="1291"/>
      <c r="F132" s="1291"/>
      <c r="G132" s="6"/>
      <c r="H132" s="6"/>
      <c r="I132" s="6"/>
      <c r="J132" s="6"/>
    </row>
    <row r="133" spans="2:10" ht="12.75">
      <c r="B133" s="15"/>
      <c r="C133" s="241"/>
      <c r="D133" s="241"/>
      <c r="E133" s="241"/>
      <c r="F133" s="241"/>
      <c r="G133" s="6"/>
      <c r="H133" s="6"/>
      <c r="I133" s="6"/>
      <c r="J133" s="6"/>
    </row>
    <row r="134" spans="2:10" ht="12.75">
      <c r="B134" s="242"/>
      <c r="C134" s="241"/>
      <c r="D134" s="241"/>
      <c r="E134" s="241"/>
      <c r="F134" s="241"/>
      <c r="G134" s="6"/>
      <c r="H134" s="6"/>
      <c r="I134" s="6"/>
      <c r="J134" s="6"/>
    </row>
    <row r="135" spans="2:10" ht="12.75">
      <c r="B135" s="242"/>
      <c r="C135" s="1291"/>
      <c r="D135" s="1291"/>
      <c r="E135" s="1291"/>
      <c r="F135" s="1291"/>
      <c r="G135" s="6"/>
      <c r="H135" s="6"/>
      <c r="I135" s="6"/>
      <c r="J135" s="6"/>
    </row>
    <row r="136" spans="2:10" ht="12.75">
      <c r="B136" s="15"/>
      <c r="C136" s="1291"/>
      <c r="D136" s="1291"/>
      <c r="E136" s="1291"/>
      <c r="F136" s="1291"/>
      <c r="G136" s="6"/>
      <c r="H136" s="6"/>
      <c r="I136" s="6"/>
      <c r="J136" s="6"/>
    </row>
    <row r="137" spans="2:10" ht="12.75">
      <c r="B137" s="15"/>
      <c r="C137" s="1291"/>
      <c r="D137" s="1291"/>
      <c r="E137" s="1291"/>
      <c r="F137" s="1291"/>
      <c r="G137" s="6"/>
      <c r="H137" s="6"/>
      <c r="I137" s="6"/>
      <c r="J137" s="6"/>
    </row>
    <row r="138" spans="2:10" ht="12.75">
      <c r="B138" s="15"/>
      <c r="C138" s="1291"/>
      <c r="D138" s="1291"/>
      <c r="E138" s="1291"/>
      <c r="F138" s="1291"/>
      <c r="G138" s="6"/>
      <c r="H138" s="6"/>
      <c r="I138" s="6"/>
      <c r="J138" s="6"/>
    </row>
    <row r="139" spans="2:10" ht="12.75">
      <c r="B139" s="15"/>
      <c r="C139" s="1291"/>
      <c r="D139" s="1291"/>
      <c r="E139" s="1291"/>
      <c r="F139" s="1291"/>
      <c r="G139" s="6"/>
      <c r="H139" s="6"/>
      <c r="I139" s="6"/>
      <c r="J139" s="6"/>
    </row>
    <row r="140" spans="2:10" ht="12.75">
      <c r="B140" s="15"/>
      <c r="C140" s="1291"/>
      <c r="D140" s="1291"/>
      <c r="E140" s="1291"/>
      <c r="F140" s="1291"/>
      <c r="G140" s="6"/>
      <c r="H140" s="6"/>
      <c r="I140" s="6"/>
      <c r="J140" s="6"/>
    </row>
    <row r="141" spans="2:10" ht="12.75">
      <c r="B141" s="15"/>
      <c r="C141" s="1291"/>
      <c r="D141" s="1291"/>
      <c r="E141" s="1291"/>
      <c r="F141" s="1291"/>
      <c r="G141" s="6"/>
      <c r="H141" s="6"/>
      <c r="I141" s="6"/>
      <c r="J141" s="6"/>
    </row>
    <row r="142" spans="2:10" ht="12.75">
      <c r="B142" s="15"/>
      <c r="C142" s="1291"/>
      <c r="D142" s="1291"/>
      <c r="E142" s="1291"/>
      <c r="F142" s="1291"/>
      <c r="G142" s="15"/>
      <c r="H142" s="15"/>
      <c r="I142" s="1290"/>
      <c r="J142" s="1290"/>
    </row>
    <row r="143" spans="2:10" ht="12.75">
      <c r="B143" s="15"/>
      <c r="C143" s="1291"/>
      <c r="D143" s="1291"/>
      <c r="E143" s="1291"/>
      <c r="F143" s="1291"/>
      <c r="G143" s="6"/>
      <c r="H143" s="6"/>
      <c r="I143" s="6"/>
      <c r="J143" s="6"/>
    </row>
    <row r="144" spans="2:10" ht="12.75">
      <c r="B144" s="15"/>
      <c r="C144" s="1291"/>
      <c r="D144" s="1291"/>
      <c r="E144" s="1291"/>
      <c r="F144" s="1291"/>
      <c r="G144" s="6"/>
      <c r="H144" s="6"/>
      <c r="I144" s="6"/>
      <c r="J144" s="6"/>
    </row>
    <row r="145" spans="2:10" ht="12.75">
      <c r="B145" s="15"/>
      <c r="C145" s="1291"/>
      <c r="D145" s="1291"/>
      <c r="E145" s="1291"/>
      <c r="F145" s="1291"/>
      <c r="G145" s="6"/>
      <c r="H145" s="6"/>
      <c r="I145" s="6"/>
      <c r="J145" s="6"/>
    </row>
    <row r="146" spans="2:10" ht="12.75">
      <c r="B146" s="15"/>
      <c r="C146" s="1291"/>
      <c r="D146" s="1291"/>
      <c r="E146" s="1291"/>
      <c r="F146" s="1291"/>
      <c r="G146" s="6"/>
      <c r="H146" s="6"/>
      <c r="I146" s="6"/>
      <c r="J146" s="6"/>
    </row>
    <row r="147" spans="2:10" ht="12.75">
      <c r="B147" s="15"/>
      <c r="C147" s="1291"/>
      <c r="D147" s="1291"/>
      <c r="E147" s="1291"/>
      <c r="F147" s="1291"/>
      <c r="G147" s="6"/>
      <c r="H147" s="6"/>
      <c r="I147" s="6"/>
      <c r="J147" s="6"/>
    </row>
    <row r="148" spans="2:10" ht="12.75">
      <c r="B148" s="15"/>
      <c r="C148" s="1291"/>
      <c r="D148" s="1291"/>
      <c r="E148" s="1291"/>
      <c r="F148" s="1291"/>
      <c r="G148" s="6"/>
      <c r="H148" s="6"/>
      <c r="I148" s="6"/>
      <c r="J148" s="6"/>
    </row>
    <row r="149" spans="2:10" ht="12.75">
      <c r="B149" s="15"/>
      <c r="C149" s="1291"/>
      <c r="D149" s="1291"/>
      <c r="E149" s="1291"/>
      <c r="F149" s="1291"/>
      <c r="G149" s="6"/>
      <c r="H149" s="6"/>
      <c r="I149" s="6"/>
      <c r="J149" s="6"/>
    </row>
    <row r="150" spans="2:10" ht="12.75">
      <c r="B150" s="15"/>
      <c r="C150" s="1291"/>
      <c r="D150" s="1291"/>
      <c r="E150" s="1291"/>
      <c r="F150" s="1291"/>
      <c r="G150" s="6"/>
      <c r="H150" s="6"/>
      <c r="I150" s="6"/>
      <c r="J150" s="6"/>
    </row>
    <row r="151" spans="2:10" ht="12.75">
      <c r="B151" s="15"/>
      <c r="C151" s="1291"/>
      <c r="D151" s="1291"/>
      <c r="E151" s="1291"/>
      <c r="F151" s="1291"/>
      <c r="G151" s="6"/>
      <c r="H151" s="6"/>
      <c r="I151" s="6"/>
      <c r="J151" s="6"/>
    </row>
    <row r="152" spans="2:10" ht="12.75">
      <c r="B152" s="15"/>
      <c r="C152" s="1291"/>
      <c r="D152" s="1291"/>
      <c r="E152" s="1291"/>
      <c r="F152" s="1291"/>
      <c r="G152" s="6"/>
      <c r="H152" s="6"/>
      <c r="I152" s="6"/>
      <c r="J152" s="6"/>
    </row>
    <row r="153" spans="2:10" ht="12.75">
      <c r="B153" s="15"/>
      <c r="C153" s="1291"/>
      <c r="D153" s="1291"/>
      <c r="E153" s="1291"/>
      <c r="F153" s="1291"/>
      <c r="G153" s="6"/>
      <c r="H153" s="6"/>
      <c r="I153" s="6"/>
      <c r="J153" s="6"/>
    </row>
    <row r="154" spans="2:10" ht="12.75">
      <c r="B154" s="15"/>
      <c r="C154" s="1291"/>
      <c r="D154" s="1291"/>
      <c r="E154" s="1291"/>
      <c r="F154" s="1291"/>
      <c r="G154" s="16"/>
      <c r="H154" s="16"/>
      <c r="I154" s="6"/>
      <c r="J154" s="6"/>
    </row>
    <row r="155" spans="2:10" ht="12.75">
      <c r="B155" s="15"/>
      <c r="C155" s="1291"/>
      <c r="D155" s="1291"/>
      <c r="E155" s="1291"/>
      <c r="F155" s="1291"/>
      <c r="G155" s="16"/>
      <c r="H155" s="16"/>
      <c r="I155" s="6"/>
      <c r="J155" s="6"/>
    </row>
    <row r="156" spans="2:10" ht="12.75">
      <c r="B156" s="15"/>
      <c r="C156" s="1291"/>
      <c r="D156" s="1291"/>
      <c r="E156" s="1291"/>
      <c r="F156" s="1291"/>
      <c r="G156" s="16"/>
      <c r="H156" s="16"/>
      <c r="I156" s="6"/>
      <c r="J156" s="6"/>
    </row>
    <row r="157" spans="2:10" ht="12.75">
      <c r="B157" s="17"/>
      <c r="C157" s="1293"/>
      <c r="D157" s="1293"/>
      <c r="E157" s="1293"/>
      <c r="F157" s="1293"/>
      <c r="G157" s="20"/>
      <c r="H157" s="20"/>
      <c r="I157" s="240"/>
      <c r="J157" s="240"/>
    </row>
    <row r="158" ht="12.75">
      <c r="B158" s="156"/>
    </row>
    <row r="168" ht="12.75">
      <c r="R168" t="s">
        <v>314</v>
      </c>
    </row>
  </sheetData>
  <sheetProtection/>
  <mergeCells count="153">
    <mergeCell ref="C155:F155"/>
    <mergeCell ref="B97:E97"/>
    <mergeCell ref="B14:E14"/>
    <mergeCell ref="G5:L5"/>
    <mergeCell ref="F45:Q45"/>
    <mergeCell ref="B30:E30"/>
    <mergeCell ref="B32:E32"/>
    <mergeCell ref="B33:E33"/>
    <mergeCell ref="B31:E31"/>
    <mergeCell ref="N90:Q90"/>
    <mergeCell ref="C139:F139"/>
    <mergeCell ref="C140:F140"/>
    <mergeCell ref="C141:F141"/>
    <mergeCell ref="C145:F145"/>
    <mergeCell ref="C156:F156"/>
    <mergeCell ref="C157:F157"/>
    <mergeCell ref="C151:F151"/>
    <mergeCell ref="C152:F152"/>
    <mergeCell ref="C153:F153"/>
    <mergeCell ref="C154:F154"/>
    <mergeCell ref="C149:F149"/>
    <mergeCell ref="C150:F150"/>
    <mergeCell ref="C138:F138"/>
    <mergeCell ref="G128:J128"/>
    <mergeCell ref="I129:J129"/>
    <mergeCell ref="G130:H130"/>
    <mergeCell ref="I142:J142"/>
    <mergeCell ref="C147:F147"/>
    <mergeCell ref="C148:F148"/>
    <mergeCell ref="C146:F146"/>
    <mergeCell ref="B128:B132"/>
    <mergeCell ref="C127:F130"/>
    <mergeCell ref="C131:F131"/>
    <mergeCell ref="C142:F142"/>
    <mergeCell ref="C143:F143"/>
    <mergeCell ref="C144:F144"/>
    <mergeCell ref="C132:F132"/>
    <mergeCell ref="C135:F135"/>
    <mergeCell ref="C136:F136"/>
    <mergeCell ref="C137:F137"/>
    <mergeCell ref="B104:E104"/>
    <mergeCell ref="B98:E98"/>
    <mergeCell ref="J92:K92"/>
    <mergeCell ref="B99:E99"/>
    <mergeCell ref="B100:E100"/>
    <mergeCell ref="B96:E96"/>
    <mergeCell ref="B95:E95"/>
    <mergeCell ref="B93:E93"/>
    <mergeCell ref="B94:E94"/>
    <mergeCell ref="F92:G92"/>
    <mergeCell ref="B103:E103"/>
    <mergeCell ref="B89:E92"/>
    <mergeCell ref="N46:Q46"/>
    <mergeCell ref="P47:Q47"/>
    <mergeCell ref="N48:O48"/>
    <mergeCell ref="N92:O92"/>
    <mergeCell ref="F89:Q89"/>
    <mergeCell ref="F90:I90"/>
    <mergeCell ref="J90:M90"/>
    <mergeCell ref="L91:M91"/>
    <mergeCell ref="F46:I46"/>
    <mergeCell ref="J46:M46"/>
    <mergeCell ref="H47:I47"/>
    <mergeCell ref="L47:M47"/>
    <mergeCell ref="F48:G48"/>
    <mergeCell ref="J48:K48"/>
    <mergeCell ref="B62:E62"/>
    <mergeCell ref="B53:E53"/>
    <mergeCell ref="B71:E71"/>
    <mergeCell ref="B72:E72"/>
    <mergeCell ref="P91:Q91"/>
    <mergeCell ref="B56:E56"/>
    <mergeCell ref="H91:I91"/>
    <mergeCell ref="B66:E66"/>
    <mergeCell ref="B64:E64"/>
    <mergeCell ref="B57:E57"/>
    <mergeCell ref="B49:E49"/>
    <mergeCell ref="B34:E34"/>
    <mergeCell ref="B52:E52"/>
    <mergeCell ref="B111:E111"/>
    <mergeCell ref="B110:E110"/>
    <mergeCell ref="B109:E109"/>
    <mergeCell ref="B108:E108"/>
    <mergeCell ref="B107:E107"/>
    <mergeCell ref="B65:E65"/>
    <mergeCell ref="B63:E63"/>
    <mergeCell ref="B13:E13"/>
    <mergeCell ref="B15:E15"/>
    <mergeCell ref="B25:E25"/>
    <mergeCell ref="B23:E23"/>
    <mergeCell ref="B24:E24"/>
    <mergeCell ref="B50:E50"/>
    <mergeCell ref="B29:E29"/>
    <mergeCell ref="B26:E26"/>
    <mergeCell ref="B16:E16"/>
    <mergeCell ref="B45:E48"/>
    <mergeCell ref="G127:J127"/>
    <mergeCell ref="B115:E115"/>
    <mergeCell ref="B114:E114"/>
    <mergeCell ref="B113:E113"/>
    <mergeCell ref="B112:E112"/>
    <mergeCell ref="B27:E27"/>
    <mergeCell ref="B28:E28"/>
    <mergeCell ref="B69:E69"/>
    <mergeCell ref="B70:E70"/>
    <mergeCell ref="B67:E67"/>
    <mergeCell ref="J8:Q8"/>
    <mergeCell ref="N11:O11"/>
    <mergeCell ref="J9:M9"/>
    <mergeCell ref="J11:K11"/>
    <mergeCell ref="F8:I9"/>
    <mergeCell ref="H10:I10"/>
    <mergeCell ref="F11:G11"/>
    <mergeCell ref="B59:E59"/>
    <mergeCell ref="B60:E60"/>
    <mergeCell ref="O1:R1"/>
    <mergeCell ref="N9:Q9"/>
    <mergeCell ref="L10:M10"/>
    <mergeCell ref="P10:Q10"/>
    <mergeCell ref="B3:R3"/>
    <mergeCell ref="B4:R4"/>
    <mergeCell ref="B8:E11"/>
    <mergeCell ref="B12:E12"/>
    <mergeCell ref="B106:E106"/>
    <mergeCell ref="B105:E105"/>
    <mergeCell ref="B102:E102"/>
    <mergeCell ref="B101:E101"/>
    <mergeCell ref="B19:E19"/>
    <mergeCell ref="B20:E20"/>
    <mergeCell ref="B21:E21"/>
    <mergeCell ref="B22:E22"/>
    <mergeCell ref="B54:E54"/>
    <mergeCell ref="B55:E55"/>
    <mergeCell ref="A88:A93"/>
    <mergeCell ref="B7:E7"/>
    <mergeCell ref="B44:E44"/>
    <mergeCell ref="B88:E88"/>
    <mergeCell ref="B17:E17"/>
    <mergeCell ref="B18:E18"/>
    <mergeCell ref="B68:E68"/>
    <mergeCell ref="A84:P84"/>
    <mergeCell ref="B61:E61"/>
    <mergeCell ref="B51:E51"/>
    <mergeCell ref="B85:P85"/>
    <mergeCell ref="B86:O86"/>
    <mergeCell ref="Q2:R2"/>
    <mergeCell ref="Q5:R5"/>
    <mergeCell ref="A40:R40"/>
    <mergeCell ref="A41:Q41"/>
    <mergeCell ref="B42:R42"/>
    <mergeCell ref="A7:A12"/>
    <mergeCell ref="A44:A49"/>
    <mergeCell ref="B58:E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6">
      <selection activeCell="E116" sqref="E116"/>
    </sheetView>
  </sheetViews>
  <sheetFormatPr defaultColWidth="9.140625" defaultRowHeight="12.75"/>
  <sheetData>
    <row r="1" spans="1:19" ht="13.5" thickTop="1">
      <c r="A1" s="1313" t="s">
        <v>471</v>
      </c>
      <c r="B1" s="1315" t="s">
        <v>470</v>
      </c>
      <c r="C1" s="1315"/>
      <c r="D1" s="1315"/>
      <c r="E1" s="1304"/>
      <c r="F1" s="1304" t="s">
        <v>469</v>
      </c>
      <c r="G1" s="1305"/>
      <c r="H1" s="1305"/>
      <c r="I1" s="1305"/>
      <c r="J1" s="1305"/>
      <c r="K1" s="1305"/>
      <c r="L1" s="1305"/>
      <c r="M1" s="1305"/>
      <c r="N1" s="1305"/>
      <c r="O1" s="1305"/>
      <c r="P1" s="1305"/>
      <c r="Q1" s="1305"/>
      <c r="R1" s="1305"/>
      <c r="S1" s="1306"/>
    </row>
    <row r="2" spans="1:19" ht="12.75">
      <c r="A2" s="1314"/>
      <c r="B2" s="1157"/>
      <c r="C2" s="1157"/>
      <c r="D2" s="1157"/>
      <c r="E2" s="1316"/>
      <c r="F2" s="1307" t="s">
        <v>392</v>
      </c>
      <c r="G2" s="1308"/>
      <c r="H2" s="1308"/>
      <c r="I2" s="1309"/>
      <c r="J2" s="1310" t="s">
        <v>468</v>
      </c>
      <c r="K2" s="1310"/>
      <c r="L2" s="1310"/>
      <c r="M2" s="1310"/>
      <c r="N2" s="1310" t="s">
        <v>87</v>
      </c>
      <c r="O2" s="1310"/>
      <c r="P2" s="1310"/>
      <c r="Q2" s="1310"/>
      <c r="R2" s="1311" t="s">
        <v>467</v>
      </c>
      <c r="S2" s="1312"/>
    </row>
    <row r="3" spans="1:19" ht="12.75">
      <c r="A3" s="1314"/>
      <c r="B3" s="1157"/>
      <c r="C3" s="1157"/>
      <c r="D3" s="1157"/>
      <c r="E3" s="1316"/>
      <c r="F3" s="110" t="s">
        <v>0</v>
      </c>
      <c r="G3" s="110" t="s">
        <v>1</v>
      </c>
      <c r="H3" s="1050" t="s">
        <v>2</v>
      </c>
      <c r="I3" s="1050"/>
      <c r="J3" s="110" t="s">
        <v>0</v>
      </c>
      <c r="K3" s="110" t="s">
        <v>1</v>
      </c>
      <c r="L3" s="1050" t="s">
        <v>2</v>
      </c>
      <c r="M3" s="1050"/>
      <c r="N3" s="110" t="s">
        <v>0</v>
      </c>
      <c r="O3" s="110" t="s">
        <v>1</v>
      </c>
      <c r="P3" s="1050" t="s">
        <v>2</v>
      </c>
      <c r="Q3" s="1050"/>
      <c r="R3" s="1297" t="s">
        <v>466</v>
      </c>
      <c r="S3" s="1298"/>
    </row>
    <row r="4" spans="1:19" ht="22.5">
      <c r="A4" s="1314"/>
      <c r="B4" s="1157"/>
      <c r="C4" s="1157"/>
      <c r="D4" s="1157"/>
      <c r="E4" s="1316"/>
      <c r="F4" s="1050" t="s">
        <v>3</v>
      </c>
      <c r="G4" s="1050"/>
      <c r="H4" s="110" t="s">
        <v>119</v>
      </c>
      <c r="I4" s="151" t="s">
        <v>465</v>
      </c>
      <c r="J4" s="1050" t="s">
        <v>3</v>
      </c>
      <c r="K4" s="1050"/>
      <c r="L4" s="110" t="s">
        <v>119</v>
      </c>
      <c r="M4" s="151" t="s">
        <v>465</v>
      </c>
      <c r="N4" s="1050" t="s">
        <v>3</v>
      </c>
      <c r="O4" s="1050"/>
      <c r="P4" s="305" t="s">
        <v>119</v>
      </c>
      <c r="Q4" s="151" t="s">
        <v>465</v>
      </c>
      <c r="R4" s="1301" t="s">
        <v>464</v>
      </c>
      <c r="S4" s="1299" t="s">
        <v>463</v>
      </c>
    </row>
    <row r="5" spans="1:19" ht="12.75">
      <c r="A5" s="1314"/>
      <c r="B5" s="1050" t="s">
        <v>390</v>
      </c>
      <c r="C5" s="1050"/>
      <c r="D5" s="1050"/>
      <c r="E5" s="1125"/>
      <c r="F5" s="110" t="s">
        <v>429</v>
      </c>
      <c r="G5" s="110" t="s">
        <v>428</v>
      </c>
      <c r="H5" s="110" t="s">
        <v>427</v>
      </c>
      <c r="I5" s="110" t="s">
        <v>426</v>
      </c>
      <c r="J5" s="110" t="s">
        <v>425</v>
      </c>
      <c r="K5" s="110" t="s">
        <v>424</v>
      </c>
      <c r="L5" s="110" t="s">
        <v>423</v>
      </c>
      <c r="M5" s="110" t="s">
        <v>422</v>
      </c>
      <c r="N5" s="110" t="s">
        <v>421</v>
      </c>
      <c r="O5" s="110" t="s">
        <v>420</v>
      </c>
      <c r="P5" s="110" t="s">
        <v>419</v>
      </c>
      <c r="Q5" s="110" t="s">
        <v>418</v>
      </c>
      <c r="R5" s="1302"/>
      <c r="S5" s="1300"/>
    </row>
    <row r="6" spans="1:5" ht="12.75">
      <c r="A6" s="304" t="s">
        <v>390</v>
      </c>
      <c r="B6" s="1155" t="s">
        <v>462</v>
      </c>
      <c r="C6" s="1042"/>
      <c r="D6" s="1042"/>
      <c r="E6" s="1042"/>
    </row>
    <row r="7" spans="1:5" ht="12.75">
      <c r="A7" s="304" t="s">
        <v>429</v>
      </c>
      <c r="B7" s="1051" t="s">
        <v>461</v>
      </c>
      <c r="C7" s="1051"/>
      <c r="D7" s="1051"/>
      <c r="E7" s="1155"/>
    </row>
    <row r="8" spans="1:5" ht="12.75">
      <c r="A8" s="304"/>
      <c r="B8" s="1155" t="s">
        <v>460</v>
      </c>
      <c r="C8" s="1042"/>
      <c r="D8" s="1042"/>
      <c r="E8" s="1042"/>
    </row>
    <row r="9" spans="1:5" ht="12.75">
      <c r="A9" s="304"/>
      <c r="B9" s="1155" t="s">
        <v>459</v>
      </c>
      <c r="C9" s="1042"/>
      <c r="D9" s="1042"/>
      <c r="E9" s="1042"/>
    </row>
    <row r="10" spans="1:5" ht="12.75">
      <c r="A10" s="304"/>
      <c r="B10" s="1155" t="s">
        <v>458</v>
      </c>
      <c r="C10" s="1042"/>
      <c r="D10" s="1042"/>
      <c r="E10" s="1042"/>
    </row>
    <row r="11" spans="1:5" ht="12.75">
      <c r="A11" s="304"/>
      <c r="B11" s="1155" t="s">
        <v>457</v>
      </c>
      <c r="C11" s="1042"/>
      <c r="D11" s="1042"/>
      <c r="E11" s="1042"/>
    </row>
    <row r="12" spans="1:5" ht="12.75">
      <c r="A12" s="304"/>
      <c r="B12" s="1155" t="s">
        <v>456</v>
      </c>
      <c r="C12" s="1042"/>
      <c r="D12" s="1042"/>
      <c r="E12" s="1042"/>
    </row>
    <row r="13" spans="1:5" ht="12.75">
      <c r="A13" s="304"/>
      <c r="B13" s="1155" t="s">
        <v>455</v>
      </c>
      <c r="C13" s="1042"/>
      <c r="D13" s="1042"/>
      <c r="E13" s="1042"/>
    </row>
    <row r="14" spans="1:5" ht="12.75">
      <c r="A14" s="304"/>
      <c r="B14" s="1155" t="s">
        <v>454</v>
      </c>
      <c r="C14" s="1042"/>
      <c r="D14" s="1042"/>
      <c r="E14" s="1042"/>
    </row>
    <row r="15" spans="1:5" ht="12.75">
      <c r="A15" s="304"/>
      <c r="B15" s="1155" t="s">
        <v>453</v>
      </c>
      <c r="C15" s="1042"/>
      <c r="D15" s="1042"/>
      <c r="E15" s="1042"/>
    </row>
    <row r="16" spans="1:5" ht="12.75">
      <c r="A16" s="304"/>
      <c r="B16" s="1155" t="s">
        <v>452</v>
      </c>
      <c r="C16" s="1042"/>
      <c r="D16" s="1042"/>
      <c r="E16" s="1042"/>
    </row>
    <row r="17" spans="1:5" ht="12.75">
      <c r="A17" s="304"/>
      <c r="B17" s="1155" t="s">
        <v>451</v>
      </c>
      <c r="C17" s="1042"/>
      <c r="D17" s="1042"/>
      <c r="E17" s="1042"/>
    </row>
    <row r="18" spans="1:5" ht="12.75">
      <c r="A18" s="304"/>
      <c r="B18" s="1155" t="s">
        <v>450</v>
      </c>
      <c r="C18" s="1042"/>
      <c r="D18" s="1042"/>
      <c r="E18" s="1042"/>
    </row>
    <row r="19" spans="1:5" ht="12.75">
      <c r="A19" s="304"/>
      <c r="B19" s="1155" t="s">
        <v>449</v>
      </c>
      <c r="C19" s="1042"/>
      <c r="D19" s="1042"/>
      <c r="E19" s="1042"/>
    </row>
    <row r="20" spans="1:5" ht="12.75">
      <c r="A20" s="304"/>
      <c r="B20" s="1155" t="s">
        <v>448</v>
      </c>
      <c r="C20" s="1042"/>
      <c r="D20" s="1042"/>
      <c r="E20" s="1042"/>
    </row>
    <row r="21" spans="1:5" ht="12.75">
      <c r="A21" s="304"/>
      <c r="B21" s="1155" t="s">
        <v>447</v>
      </c>
      <c r="C21" s="1042"/>
      <c r="D21" s="1042"/>
      <c r="E21" s="1042"/>
    </row>
    <row r="22" spans="1:5" ht="12.75">
      <c r="A22" s="304"/>
      <c r="B22" s="1155" t="s">
        <v>446</v>
      </c>
      <c r="C22" s="1042"/>
      <c r="D22" s="1042"/>
      <c r="E22" s="1042"/>
    </row>
    <row r="23" spans="1:5" ht="12.75">
      <c r="A23" s="304"/>
      <c r="B23" s="1155" t="s">
        <v>445</v>
      </c>
      <c r="C23" s="1042"/>
      <c r="D23" s="1042"/>
      <c r="E23" s="1042"/>
    </row>
    <row r="24" spans="1:5" ht="12.75">
      <c r="A24" s="304"/>
      <c r="B24" s="1155" t="s">
        <v>444</v>
      </c>
      <c r="C24" s="1042"/>
      <c r="D24" s="1042"/>
      <c r="E24" s="1042"/>
    </row>
    <row r="25" spans="1:5" ht="12.75">
      <c r="A25" s="304"/>
      <c r="B25" s="1155"/>
      <c r="C25" s="1042"/>
      <c r="D25" s="1042"/>
      <c r="E25" s="1042"/>
    </row>
    <row r="26" spans="1:5" ht="12.75">
      <c r="A26" s="304" t="s">
        <v>428</v>
      </c>
      <c r="B26" s="1051" t="s">
        <v>15</v>
      </c>
      <c r="C26" s="1051"/>
      <c r="D26" s="1051"/>
      <c r="E26" s="1155"/>
    </row>
    <row r="27" spans="1:5" ht="12.75">
      <c r="A27" s="304" t="s">
        <v>427</v>
      </c>
      <c r="B27" s="1051" t="s">
        <v>443</v>
      </c>
      <c r="C27" s="1051"/>
      <c r="D27" s="1051"/>
      <c r="E27" s="1155"/>
    </row>
    <row r="28" spans="1:5" ht="12.75">
      <c r="A28" s="304" t="s">
        <v>426</v>
      </c>
      <c r="B28" s="1155" t="s">
        <v>442</v>
      </c>
      <c r="C28" s="1042"/>
      <c r="D28" s="1042"/>
      <c r="E28" s="1042"/>
    </row>
    <row r="29" spans="1:5" ht="12.75">
      <c r="A29" s="303"/>
      <c r="B29" s="1106" t="s">
        <v>441</v>
      </c>
      <c r="C29" s="1106"/>
      <c r="D29" s="1106"/>
      <c r="E29" s="1147"/>
    </row>
    <row r="30" spans="1:5" ht="13.5" thickBot="1">
      <c r="A30" s="302" t="s">
        <v>425</v>
      </c>
      <c r="B30" s="1270" t="s">
        <v>440</v>
      </c>
      <c r="C30" s="1270"/>
      <c r="D30" s="1270"/>
      <c r="E30" s="1303"/>
    </row>
    <row r="31" spans="1:5" ht="13.5" thickBot="1">
      <c r="A31" s="301"/>
      <c r="B31" s="1268" t="s">
        <v>315</v>
      </c>
      <c r="C31" s="1268"/>
      <c r="D31" s="1268"/>
      <c r="E31" s="1268"/>
    </row>
  </sheetData>
  <sheetProtection/>
  <mergeCells count="43">
    <mergeCell ref="B9:E9"/>
    <mergeCell ref="B10:E10"/>
    <mergeCell ref="A1:A5"/>
    <mergeCell ref="B1:E4"/>
    <mergeCell ref="B5:E5"/>
    <mergeCell ref="B6:E6"/>
    <mergeCell ref="B7:E7"/>
    <mergeCell ref="B8:E8"/>
    <mergeCell ref="B25:E25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1:E11"/>
    <mergeCell ref="B12:E12"/>
    <mergeCell ref="B13:E13"/>
    <mergeCell ref="B14:E14"/>
    <mergeCell ref="B27:E27"/>
    <mergeCell ref="B28:E28"/>
    <mergeCell ref="B29:E29"/>
    <mergeCell ref="B30:E30"/>
    <mergeCell ref="B31:E31"/>
    <mergeCell ref="F1:S1"/>
    <mergeCell ref="F2:I2"/>
    <mergeCell ref="J2:M2"/>
    <mergeCell ref="N2:Q2"/>
    <mergeCell ref="R2:S2"/>
    <mergeCell ref="H3:I3"/>
    <mergeCell ref="L3:M3"/>
    <mergeCell ref="P3:Q3"/>
    <mergeCell ref="R3:S3"/>
    <mergeCell ref="S4:S5"/>
    <mergeCell ref="F4:G4"/>
    <mergeCell ref="J4:K4"/>
    <mergeCell ref="N4:O4"/>
    <mergeCell ref="R4:R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140625" style="0" customWidth="1"/>
    <col min="2" max="4" width="6.7109375" style="0" customWidth="1"/>
    <col min="5" max="5" width="13.00390625" style="0" customWidth="1"/>
    <col min="6" max="6" width="6.421875" style="0" customWidth="1"/>
    <col min="7" max="7" width="7.7109375" style="0" customWidth="1"/>
    <col min="8" max="9" width="7.00390625" style="0" customWidth="1"/>
    <col min="10" max="10" width="8.28125" style="0" customWidth="1"/>
    <col min="11" max="11" width="7.8515625" style="0" customWidth="1"/>
    <col min="12" max="12" width="8.00390625" style="0" customWidth="1"/>
    <col min="13" max="13" width="7.140625" style="0" customWidth="1"/>
    <col min="14" max="14" width="9.00390625" style="0" customWidth="1"/>
    <col min="15" max="15" width="6.140625" style="0" hidden="1" customWidth="1"/>
    <col min="16" max="16" width="9.7109375" style="0" hidden="1" customWidth="1"/>
    <col min="17" max="17" width="5.140625" style="0" hidden="1" customWidth="1"/>
    <col min="18" max="18" width="8.7109375" style="0" customWidth="1"/>
    <col min="19" max="19" width="1.7109375" style="0" hidden="1" customWidth="1"/>
    <col min="20" max="21" width="5.140625" style="0" hidden="1" customWidth="1"/>
    <col min="22" max="22" width="9.8515625" style="0" customWidth="1"/>
    <col min="23" max="23" width="1.8515625" style="0" hidden="1" customWidth="1"/>
    <col min="24" max="24" width="7.8515625" style="0" hidden="1" customWidth="1"/>
    <col min="25" max="25" width="5.00390625" style="0" hidden="1" customWidth="1"/>
    <col min="26" max="26" width="6.00390625" style="0" customWidth="1"/>
  </cols>
  <sheetData>
    <row r="1" spans="13:27" ht="12.75">
      <c r="M1" s="9"/>
      <c r="N1" s="9"/>
      <c r="O1" s="9"/>
      <c r="P1" s="9" t="s">
        <v>505</v>
      </c>
      <c r="Q1" s="9"/>
      <c r="R1" s="1362"/>
      <c r="S1" s="1362"/>
      <c r="T1" s="1362"/>
      <c r="U1" s="1362"/>
      <c r="V1" s="1362"/>
      <c r="W1" s="1362"/>
      <c r="X1" s="1362"/>
      <c r="Y1" s="1362"/>
      <c r="Z1" s="1362"/>
      <c r="AA1" s="9"/>
    </row>
    <row r="2" spans="1:26" ht="12.75">
      <c r="A2" s="1346" t="s">
        <v>504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</row>
    <row r="3" spans="1:25" ht="12.75">
      <c r="A3" s="42"/>
      <c r="B3" s="42"/>
      <c r="C3" s="42"/>
      <c r="D3" s="42"/>
      <c r="E3" s="11"/>
      <c r="F3" s="42" t="s">
        <v>503</v>
      </c>
      <c r="G3" s="1097" t="s">
        <v>502</v>
      </c>
      <c r="H3" s="1097"/>
      <c r="I3" s="1097"/>
      <c r="J3" s="1097"/>
      <c r="K3" s="1097"/>
      <c r="L3" s="1097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15" customHeight="1">
      <c r="A4" s="1346" t="s">
        <v>501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  <c r="U4" s="1346"/>
      <c r="V4" s="1346"/>
      <c r="W4" s="1346"/>
      <c r="X4" s="1346"/>
      <c r="Y4" s="1346"/>
      <c r="Z4" s="245" t="s">
        <v>500</v>
      </c>
    </row>
    <row r="5" spans="1:26" ht="12" customHeight="1" thickBot="1">
      <c r="A5" s="1331"/>
      <c r="B5" s="1194" t="s">
        <v>41</v>
      </c>
      <c r="C5" s="1195"/>
      <c r="D5" s="1195"/>
      <c r="E5" s="1196"/>
      <c r="F5" s="208" t="s">
        <v>27</v>
      </c>
      <c r="G5" s="208" t="s">
        <v>28</v>
      </c>
      <c r="H5" s="208" t="s">
        <v>29</v>
      </c>
      <c r="I5" s="208" t="s">
        <v>30</v>
      </c>
      <c r="J5" s="208" t="s">
        <v>439</v>
      </c>
      <c r="K5" s="208" t="s">
        <v>438</v>
      </c>
      <c r="L5" s="208" t="s">
        <v>437</v>
      </c>
      <c r="M5" s="208" t="s">
        <v>436</v>
      </c>
      <c r="N5" s="208" t="s">
        <v>435</v>
      </c>
      <c r="O5" s="377"/>
      <c r="P5" s="377"/>
      <c r="Q5" s="377"/>
      <c r="R5" s="208" t="s">
        <v>434</v>
      </c>
      <c r="S5" s="377"/>
      <c r="T5" s="377"/>
      <c r="U5" s="377"/>
      <c r="V5" s="208" t="s">
        <v>433</v>
      </c>
      <c r="W5" s="377"/>
      <c r="X5" s="377"/>
      <c r="Y5" s="377"/>
      <c r="Z5" s="208" t="s">
        <v>432</v>
      </c>
    </row>
    <row r="6" spans="1:26" ht="13.5" customHeight="1">
      <c r="A6" s="1332"/>
      <c r="B6" s="1322" t="s">
        <v>499</v>
      </c>
      <c r="C6" s="1322"/>
      <c r="D6" s="1322"/>
      <c r="E6" s="1323"/>
      <c r="F6" s="1365" t="s">
        <v>498</v>
      </c>
      <c r="G6" s="1260"/>
      <c r="H6" s="1260"/>
      <c r="I6" s="1261"/>
      <c r="J6" s="1347" t="s">
        <v>497</v>
      </c>
      <c r="K6" s="1348"/>
      <c r="L6" s="1348"/>
      <c r="M6" s="1349"/>
      <c r="N6" s="1353" t="s">
        <v>496</v>
      </c>
      <c r="O6" s="1354"/>
      <c r="P6" s="1354"/>
      <c r="Q6" s="1354"/>
      <c r="R6" s="1354"/>
      <c r="S6" s="1354"/>
      <c r="T6" s="1354"/>
      <c r="U6" s="1354"/>
      <c r="V6" s="1354"/>
      <c r="W6" s="1354"/>
      <c r="X6" s="1354"/>
      <c r="Y6" s="1354"/>
      <c r="Z6" s="1355"/>
    </row>
    <row r="7" spans="1:26" ht="13.5" thickBot="1">
      <c r="A7" s="1332"/>
      <c r="B7" s="1324"/>
      <c r="C7" s="1324"/>
      <c r="D7" s="1324"/>
      <c r="E7" s="1325"/>
      <c r="F7" s="1366"/>
      <c r="G7" s="1367"/>
      <c r="H7" s="1367"/>
      <c r="I7" s="1368"/>
      <c r="J7" s="1350"/>
      <c r="K7" s="1351"/>
      <c r="L7" s="1351"/>
      <c r="M7" s="1352"/>
      <c r="N7" s="1350"/>
      <c r="O7" s="1351"/>
      <c r="P7" s="1351"/>
      <c r="Q7" s="1351"/>
      <c r="R7" s="1351"/>
      <c r="S7" s="1351"/>
      <c r="T7" s="1351"/>
      <c r="U7" s="1351"/>
      <c r="V7" s="1351"/>
      <c r="W7" s="1351"/>
      <c r="X7" s="1351"/>
      <c r="Y7" s="1351"/>
      <c r="Z7" s="1352"/>
    </row>
    <row r="8" spans="1:26" ht="12.75">
      <c r="A8" s="1332"/>
      <c r="B8" s="1324"/>
      <c r="C8" s="1324"/>
      <c r="D8" s="1324"/>
      <c r="E8" s="1325"/>
      <c r="F8" s="376" t="s">
        <v>0</v>
      </c>
      <c r="G8" s="29" t="s">
        <v>1</v>
      </c>
      <c r="H8" s="1098" t="s">
        <v>2</v>
      </c>
      <c r="I8" s="1099"/>
      <c r="J8" s="375" t="s">
        <v>0</v>
      </c>
      <c r="K8" s="306" t="s">
        <v>1</v>
      </c>
      <c r="L8" s="1310" t="s">
        <v>2</v>
      </c>
      <c r="M8" s="1369"/>
      <c r="N8" s="1378" t="s">
        <v>0</v>
      </c>
      <c r="O8" s="1310"/>
      <c r="P8" s="1310"/>
      <c r="Q8" s="1310"/>
      <c r="R8" s="373" t="s">
        <v>1</v>
      </c>
      <c r="S8" s="275"/>
      <c r="T8" s="275"/>
      <c r="U8" s="275"/>
      <c r="V8" s="1376" t="s">
        <v>2</v>
      </c>
      <c r="W8" s="1377"/>
      <c r="X8" s="1377"/>
      <c r="Y8" s="1377"/>
      <c r="Z8" s="1378"/>
    </row>
    <row r="9" spans="1:26" ht="21" customHeight="1">
      <c r="A9" s="1332"/>
      <c r="B9" s="1324"/>
      <c r="C9" s="1324"/>
      <c r="D9" s="1324"/>
      <c r="E9" s="1325"/>
      <c r="F9" s="1127" t="s">
        <v>3</v>
      </c>
      <c r="G9" s="1050"/>
      <c r="H9" s="110" t="s">
        <v>119</v>
      </c>
      <c r="I9" s="265" t="s">
        <v>21</v>
      </c>
      <c r="J9" s="1266" t="s">
        <v>3</v>
      </c>
      <c r="K9" s="1050"/>
      <c r="L9" s="110" t="s">
        <v>119</v>
      </c>
      <c r="M9" s="265" t="s">
        <v>21</v>
      </c>
      <c r="N9" s="1379" t="s">
        <v>3</v>
      </c>
      <c r="O9" s="1379"/>
      <c r="P9" s="1379"/>
      <c r="Q9" s="1379"/>
      <c r="R9" s="1379"/>
      <c r="S9" s="371"/>
      <c r="T9" s="371"/>
      <c r="U9" s="371"/>
      <c r="V9" s="1125" t="s">
        <v>119</v>
      </c>
      <c r="W9" s="1126"/>
      <c r="X9" s="1126"/>
      <c r="Y9" s="1127"/>
      <c r="Z9" s="148" t="s">
        <v>21</v>
      </c>
    </row>
    <row r="10" spans="1:26" ht="15" customHeight="1">
      <c r="A10" s="1310"/>
      <c r="B10" s="1050"/>
      <c r="C10" s="1050"/>
      <c r="D10" s="1050"/>
      <c r="E10" s="1265"/>
      <c r="F10" s="133" t="s">
        <v>429</v>
      </c>
      <c r="G10" s="110" t="s">
        <v>428</v>
      </c>
      <c r="H10" s="110" t="s">
        <v>427</v>
      </c>
      <c r="I10" s="258" t="s">
        <v>426</v>
      </c>
      <c r="J10" s="291" t="s">
        <v>425</v>
      </c>
      <c r="K10" s="110" t="s">
        <v>424</v>
      </c>
      <c r="L10" s="110" t="s">
        <v>423</v>
      </c>
      <c r="M10" s="258" t="s">
        <v>422</v>
      </c>
      <c r="N10" s="1127" t="s">
        <v>421</v>
      </c>
      <c r="O10" s="1050"/>
      <c r="P10" s="1050"/>
      <c r="Q10" s="1050"/>
      <c r="R10" s="135" t="s">
        <v>420</v>
      </c>
      <c r="S10" s="134"/>
      <c r="T10" s="134"/>
      <c r="U10" s="134"/>
      <c r="V10" s="1125" t="s">
        <v>419</v>
      </c>
      <c r="W10" s="1126"/>
      <c r="X10" s="1126"/>
      <c r="Y10" s="1126"/>
      <c r="Z10" s="258" t="s">
        <v>418</v>
      </c>
    </row>
    <row r="11" spans="1:26" ht="12.75">
      <c r="A11" s="305">
        <v>1</v>
      </c>
      <c r="B11" s="1343" t="s">
        <v>495</v>
      </c>
      <c r="C11" s="1344"/>
      <c r="D11" s="1344"/>
      <c r="E11" s="1345"/>
      <c r="F11" s="367">
        <v>0</v>
      </c>
      <c r="G11" s="359">
        <v>100</v>
      </c>
      <c r="H11" s="359">
        <v>201</v>
      </c>
      <c r="I11" s="118">
        <f>H11/G11*100</f>
        <v>200.99999999999997</v>
      </c>
      <c r="J11" s="360">
        <v>253</v>
      </c>
      <c r="K11" s="359">
        <v>253</v>
      </c>
      <c r="L11" s="359">
        <v>279</v>
      </c>
      <c r="M11" s="369">
        <f>(L11/K11)*100</f>
        <v>110.27667984189723</v>
      </c>
      <c r="N11" s="367">
        <f>F11+J11</f>
        <v>253</v>
      </c>
      <c r="O11" s="359"/>
      <c r="P11" s="359"/>
      <c r="Q11" s="359"/>
      <c r="R11" s="366">
        <f>G11+K11</f>
        <v>353</v>
      </c>
      <c r="S11" s="366"/>
      <c r="T11" s="366"/>
      <c r="U11" s="366"/>
      <c r="V11" s="1363">
        <f>H11+L11</f>
        <v>480</v>
      </c>
      <c r="W11" s="1364"/>
      <c r="X11" s="1364"/>
      <c r="Y11" s="1364"/>
      <c r="Z11" s="369">
        <f>V11/R11*100</f>
        <v>135.97733711048159</v>
      </c>
    </row>
    <row r="12" spans="1:26" ht="12.75">
      <c r="A12" s="305">
        <v>2</v>
      </c>
      <c r="B12" s="1043" t="s">
        <v>494</v>
      </c>
      <c r="C12" s="1051"/>
      <c r="D12" s="1051"/>
      <c r="E12" s="1240"/>
      <c r="F12" s="105">
        <v>0</v>
      </c>
      <c r="G12" s="144">
        <v>0</v>
      </c>
      <c r="H12" s="144">
        <v>0</v>
      </c>
      <c r="I12" s="118">
        <v>0</v>
      </c>
      <c r="J12" s="287">
        <v>0</v>
      </c>
      <c r="K12" s="144">
        <v>0</v>
      </c>
      <c r="L12" s="144">
        <v>0</v>
      </c>
      <c r="M12" s="118">
        <v>0</v>
      </c>
      <c r="N12" s="105">
        <f>F12+J12</f>
        <v>0</v>
      </c>
      <c r="O12" s="144"/>
      <c r="P12" s="144"/>
      <c r="Q12" s="144"/>
      <c r="R12" s="104">
        <f>G12+K12</f>
        <v>0</v>
      </c>
      <c r="S12" s="104"/>
      <c r="T12" s="104"/>
      <c r="U12" s="104"/>
      <c r="V12" s="1328">
        <f>H12+L12</f>
        <v>0</v>
      </c>
      <c r="W12" s="1094"/>
      <c r="X12" s="1094"/>
      <c r="Y12" s="1094"/>
      <c r="Z12" s="118">
        <v>0</v>
      </c>
    </row>
    <row r="13" spans="1:26" ht="12.75">
      <c r="A13" s="305">
        <v>3</v>
      </c>
      <c r="B13" s="1049" t="s">
        <v>493</v>
      </c>
      <c r="C13" s="1270"/>
      <c r="D13" s="1270"/>
      <c r="E13" s="1271"/>
      <c r="F13" s="284">
        <v>2718</v>
      </c>
      <c r="G13" s="282">
        <v>2718</v>
      </c>
      <c r="H13" s="282">
        <v>2770</v>
      </c>
      <c r="I13" s="352">
        <f>H13/G13*100</f>
        <v>101.91317144959528</v>
      </c>
      <c r="J13" s="300">
        <v>0</v>
      </c>
      <c r="K13" s="282">
        <v>0</v>
      </c>
      <c r="L13" s="282">
        <v>0</v>
      </c>
      <c r="M13" s="352">
        <v>0</v>
      </c>
      <c r="N13" s="284">
        <f>F13+J13</f>
        <v>2718</v>
      </c>
      <c r="O13" s="282"/>
      <c r="P13" s="282"/>
      <c r="Q13" s="282"/>
      <c r="R13" s="263">
        <f>G13+K13</f>
        <v>2718</v>
      </c>
      <c r="S13" s="263"/>
      <c r="T13" s="263"/>
      <c r="U13" s="263"/>
      <c r="V13" s="1286">
        <f>H13+L13</f>
        <v>2770</v>
      </c>
      <c r="W13" s="1287"/>
      <c r="X13" s="1287"/>
      <c r="Y13" s="1287"/>
      <c r="Z13" s="352">
        <f>V13/R13*100</f>
        <v>101.91317144959528</v>
      </c>
    </row>
    <row r="14" spans="1:26" ht="13.5" thickBot="1">
      <c r="A14" s="305">
        <v>4</v>
      </c>
      <c r="B14" s="1317" t="s">
        <v>474</v>
      </c>
      <c r="C14" s="1318"/>
      <c r="D14" s="1318"/>
      <c r="E14" s="1319"/>
      <c r="F14" s="327">
        <v>0</v>
      </c>
      <c r="G14" s="319">
        <v>756</v>
      </c>
      <c r="H14" s="319">
        <v>756</v>
      </c>
      <c r="I14" s="321">
        <v>0</v>
      </c>
      <c r="J14" s="320">
        <v>0</v>
      </c>
      <c r="K14" s="319">
        <v>0</v>
      </c>
      <c r="L14" s="319">
        <v>0</v>
      </c>
      <c r="M14" s="321">
        <v>0</v>
      </c>
      <c r="N14" s="327">
        <v>0</v>
      </c>
      <c r="O14" s="370"/>
      <c r="P14" s="370"/>
      <c r="Q14" s="370"/>
      <c r="R14" s="319">
        <v>756</v>
      </c>
      <c r="S14" s="319"/>
      <c r="T14" s="319"/>
      <c r="U14" s="319"/>
      <c r="V14" s="319">
        <v>756</v>
      </c>
      <c r="W14" s="319"/>
      <c r="X14" s="319"/>
      <c r="Y14" s="319"/>
      <c r="Z14" s="321">
        <f>V14/R14*100</f>
        <v>100</v>
      </c>
    </row>
    <row r="15" spans="1:26" s="26" customFormat="1" ht="13.5" thickBot="1">
      <c r="A15" s="305">
        <v>5</v>
      </c>
      <c r="B15" s="1335" t="s">
        <v>492</v>
      </c>
      <c r="C15" s="1336"/>
      <c r="D15" s="1336"/>
      <c r="E15" s="1337"/>
      <c r="F15" s="314">
        <f>F11+F12+F13</f>
        <v>2718</v>
      </c>
      <c r="G15" s="349">
        <f>G11+G12+G13+G14</f>
        <v>3574</v>
      </c>
      <c r="H15" s="345">
        <f>H11+H12+H13+H14</f>
        <v>3727</v>
      </c>
      <c r="I15" s="347">
        <f>H15/G15*100</f>
        <v>104.28091773922776</v>
      </c>
      <c r="J15" s="350">
        <f>SUM(J11:J14)</f>
        <v>253</v>
      </c>
      <c r="K15" s="346">
        <f>SUM(K11:K14)</f>
        <v>253</v>
      </c>
      <c r="L15" s="346">
        <f>SUM(L11:L14)</f>
        <v>279</v>
      </c>
      <c r="M15" s="351">
        <f>(L15/K15)*100</f>
        <v>110.27667984189723</v>
      </c>
      <c r="N15" s="350">
        <f>N11+N12+N13</f>
        <v>2971</v>
      </c>
      <c r="O15" s="345">
        <f>O11+O12+O13</f>
        <v>0</v>
      </c>
      <c r="P15" s="345">
        <f>P11+P12+P13</f>
        <v>0</v>
      </c>
      <c r="Q15" s="345">
        <f>Q11+Q12+Q13</f>
        <v>0</v>
      </c>
      <c r="R15" s="345">
        <f>R11+R12+R13+R14</f>
        <v>3827</v>
      </c>
      <c r="S15" s="345">
        <f>S11+S12+S13</f>
        <v>0</v>
      </c>
      <c r="T15" s="345">
        <f>T11+T12+T13</f>
        <v>0</v>
      </c>
      <c r="U15" s="345">
        <f>U11+U12+U13</f>
        <v>0</v>
      </c>
      <c r="V15" s="1329">
        <f>V11+V12+V13+V14</f>
        <v>4006</v>
      </c>
      <c r="W15" s="1330"/>
      <c r="X15" s="1330"/>
      <c r="Y15" s="1330"/>
      <c r="Z15" s="351">
        <f>V15/R15*100</f>
        <v>104.6772929187353</v>
      </c>
    </row>
    <row r="16" spans="1:26" ht="12.75">
      <c r="A16" s="305">
        <v>6</v>
      </c>
      <c r="B16" s="1343" t="s">
        <v>491</v>
      </c>
      <c r="C16" s="1344"/>
      <c r="D16" s="1344"/>
      <c r="E16" s="1345"/>
      <c r="F16" s="367">
        <v>1570</v>
      </c>
      <c r="G16" s="359">
        <v>1595</v>
      </c>
      <c r="H16" s="359">
        <v>2617</v>
      </c>
      <c r="I16" s="369">
        <f>H16/G16*100</f>
        <v>164.07523510971785</v>
      </c>
      <c r="J16" s="360">
        <v>286</v>
      </c>
      <c r="K16" s="359">
        <v>286</v>
      </c>
      <c r="L16" s="359">
        <v>327</v>
      </c>
      <c r="M16" s="368">
        <f>(L16/K16)*100</f>
        <v>114.33566433566433</v>
      </c>
      <c r="N16" s="367">
        <f aca="true" t="shared" si="0" ref="N16:N22">F16+J16</f>
        <v>1856</v>
      </c>
      <c r="O16" s="359"/>
      <c r="P16" s="359"/>
      <c r="Q16" s="359"/>
      <c r="R16" s="366">
        <f aca="true" t="shared" si="1" ref="R16:R22">G16+K16</f>
        <v>1881</v>
      </c>
      <c r="S16" s="366"/>
      <c r="T16" s="366"/>
      <c r="U16" s="366"/>
      <c r="V16" s="1363">
        <f aca="true" t="shared" si="2" ref="V16:V21">H16+L16</f>
        <v>2944</v>
      </c>
      <c r="W16" s="1364"/>
      <c r="X16" s="1364"/>
      <c r="Y16" s="1364"/>
      <c r="Z16" s="354">
        <f>V16/R16*100</f>
        <v>156.51249335459863</v>
      </c>
    </row>
    <row r="17" spans="1:26" ht="12.75">
      <c r="A17" s="305">
        <v>7</v>
      </c>
      <c r="B17" s="1043" t="s">
        <v>490</v>
      </c>
      <c r="C17" s="1051"/>
      <c r="D17" s="1051"/>
      <c r="E17" s="1240"/>
      <c r="F17" s="105">
        <v>0</v>
      </c>
      <c r="G17" s="144">
        <v>0</v>
      </c>
      <c r="H17" s="144">
        <v>0</v>
      </c>
      <c r="I17" s="118">
        <v>0</v>
      </c>
      <c r="J17" s="287">
        <v>0</v>
      </c>
      <c r="K17" s="144">
        <v>0</v>
      </c>
      <c r="L17" s="144">
        <v>0</v>
      </c>
      <c r="M17" s="118">
        <v>0</v>
      </c>
      <c r="N17" s="287">
        <f t="shared" si="0"/>
        <v>0</v>
      </c>
      <c r="O17" s="144"/>
      <c r="P17" s="144"/>
      <c r="Q17" s="144"/>
      <c r="R17" s="104">
        <f t="shared" si="1"/>
        <v>0</v>
      </c>
      <c r="S17" s="104"/>
      <c r="T17" s="104"/>
      <c r="U17" s="104"/>
      <c r="V17" s="1328">
        <f t="shared" si="2"/>
        <v>0</v>
      </c>
      <c r="W17" s="1094"/>
      <c r="X17" s="1094"/>
      <c r="Y17" s="1094"/>
      <c r="Z17" s="118">
        <v>0</v>
      </c>
    </row>
    <row r="18" spans="1:26" ht="12.75">
      <c r="A18" s="305">
        <v>8</v>
      </c>
      <c r="B18" s="1342" t="s">
        <v>489</v>
      </c>
      <c r="C18" s="1272"/>
      <c r="D18" s="1272"/>
      <c r="E18" s="1275"/>
      <c r="F18" s="105">
        <v>900</v>
      </c>
      <c r="G18" s="144">
        <v>900</v>
      </c>
      <c r="H18" s="144">
        <v>1056</v>
      </c>
      <c r="I18" s="118">
        <f>H18/G18*100</f>
        <v>117.33333333333333</v>
      </c>
      <c r="J18" s="287">
        <v>0</v>
      </c>
      <c r="K18" s="144">
        <v>0</v>
      </c>
      <c r="L18" s="144">
        <v>0</v>
      </c>
      <c r="M18" s="118">
        <v>0</v>
      </c>
      <c r="N18" s="105">
        <f t="shared" si="0"/>
        <v>900</v>
      </c>
      <c r="O18" s="144"/>
      <c r="P18" s="144"/>
      <c r="Q18" s="144"/>
      <c r="R18" s="104">
        <f t="shared" si="1"/>
        <v>900</v>
      </c>
      <c r="S18" s="104"/>
      <c r="T18" s="104"/>
      <c r="U18" s="104"/>
      <c r="V18" s="1328">
        <f t="shared" si="2"/>
        <v>1056</v>
      </c>
      <c r="W18" s="1094"/>
      <c r="X18" s="1094"/>
      <c r="Y18" s="1094"/>
      <c r="Z18" s="118">
        <f>V18/R18*100</f>
        <v>117.33333333333333</v>
      </c>
    </row>
    <row r="19" spans="1:26" ht="12.75">
      <c r="A19" s="305">
        <v>9</v>
      </c>
      <c r="B19" s="1043" t="s">
        <v>488</v>
      </c>
      <c r="C19" s="1051"/>
      <c r="D19" s="1051"/>
      <c r="E19" s="1240"/>
      <c r="F19" s="105">
        <v>0</v>
      </c>
      <c r="G19" s="144">
        <v>0</v>
      </c>
      <c r="H19" s="144">
        <v>0</v>
      </c>
      <c r="I19" s="118">
        <v>0</v>
      </c>
      <c r="J19" s="330">
        <v>0</v>
      </c>
      <c r="K19" s="329">
        <v>0</v>
      </c>
      <c r="L19" s="329">
        <v>0</v>
      </c>
      <c r="M19" s="318">
        <v>0</v>
      </c>
      <c r="N19" s="331">
        <f t="shared" si="0"/>
        <v>0</v>
      </c>
      <c r="O19" s="329"/>
      <c r="P19" s="329"/>
      <c r="Q19" s="329"/>
      <c r="R19" s="328">
        <f t="shared" si="1"/>
        <v>0</v>
      </c>
      <c r="S19" s="328"/>
      <c r="T19" s="328"/>
      <c r="U19" s="328"/>
      <c r="V19" s="1326">
        <f t="shared" si="2"/>
        <v>0</v>
      </c>
      <c r="W19" s="1327"/>
      <c r="X19" s="1327"/>
      <c r="Y19" s="1327"/>
      <c r="Z19" s="318">
        <v>0</v>
      </c>
    </row>
    <row r="20" spans="1:26" ht="12.75">
      <c r="A20" s="305">
        <v>10</v>
      </c>
      <c r="B20" s="1043" t="s">
        <v>487</v>
      </c>
      <c r="C20" s="1051"/>
      <c r="D20" s="1051"/>
      <c r="E20" s="1240"/>
      <c r="F20" s="105">
        <v>2672</v>
      </c>
      <c r="G20" s="144">
        <v>2672</v>
      </c>
      <c r="H20" s="144">
        <v>2918</v>
      </c>
      <c r="I20" s="118">
        <f>H20/G20*100</f>
        <v>109.20658682634729</v>
      </c>
      <c r="J20" s="330">
        <v>0</v>
      </c>
      <c r="K20" s="329">
        <v>0</v>
      </c>
      <c r="L20" s="329">
        <v>0</v>
      </c>
      <c r="M20" s="318">
        <v>0</v>
      </c>
      <c r="N20" s="331">
        <f t="shared" si="0"/>
        <v>2672</v>
      </c>
      <c r="O20" s="329"/>
      <c r="P20" s="329"/>
      <c r="Q20" s="329"/>
      <c r="R20" s="328">
        <f t="shared" si="1"/>
        <v>2672</v>
      </c>
      <c r="S20" s="328"/>
      <c r="T20" s="328"/>
      <c r="U20" s="328"/>
      <c r="V20" s="1326">
        <f t="shared" si="2"/>
        <v>2918</v>
      </c>
      <c r="W20" s="1327"/>
      <c r="X20" s="1327"/>
      <c r="Y20" s="1327"/>
      <c r="Z20" s="318">
        <f>V20/R20*100</f>
        <v>109.20658682634729</v>
      </c>
    </row>
    <row r="21" spans="1:26" ht="12.75">
      <c r="A21" s="305">
        <v>11</v>
      </c>
      <c r="B21" s="1043" t="s">
        <v>486</v>
      </c>
      <c r="C21" s="1051"/>
      <c r="D21" s="1051"/>
      <c r="E21" s="1240"/>
      <c r="F21" s="105">
        <v>0</v>
      </c>
      <c r="G21" s="144">
        <v>0</v>
      </c>
      <c r="H21" s="144">
        <v>0</v>
      </c>
      <c r="I21" s="118">
        <v>0</v>
      </c>
      <c r="J21" s="287">
        <v>0</v>
      </c>
      <c r="K21" s="144">
        <v>0</v>
      </c>
      <c r="L21" s="144">
        <v>0</v>
      </c>
      <c r="M21" s="118">
        <v>0</v>
      </c>
      <c r="N21" s="105">
        <f t="shared" si="0"/>
        <v>0</v>
      </c>
      <c r="O21" s="144"/>
      <c r="P21" s="144"/>
      <c r="Q21" s="144"/>
      <c r="R21" s="104">
        <f t="shared" si="1"/>
        <v>0</v>
      </c>
      <c r="S21" s="104"/>
      <c r="T21" s="104"/>
      <c r="U21" s="104"/>
      <c r="V21" s="1328">
        <f t="shared" si="2"/>
        <v>0</v>
      </c>
      <c r="W21" s="1094"/>
      <c r="X21" s="1094"/>
      <c r="Y21" s="1094"/>
      <c r="Z21" s="118">
        <v>0</v>
      </c>
    </row>
    <row r="22" spans="1:26" ht="12.75">
      <c r="A22" s="305">
        <v>12</v>
      </c>
      <c r="B22" s="1048" t="s">
        <v>485</v>
      </c>
      <c r="C22" s="1048"/>
      <c r="D22" s="1048"/>
      <c r="E22" s="1372"/>
      <c r="F22" s="284">
        <v>0</v>
      </c>
      <c r="G22" s="282">
        <v>0</v>
      </c>
      <c r="H22" s="282">
        <v>0</v>
      </c>
      <c r="I22" s="364">
        <v>0</v>
      </c>
      <c r="J22" s="287">
        <v>0</v>
      </c>
      <c r="K22" s="282">
        <v>0</v>
      </c>
      <c r="L22" s="282">
        <v>0</v>
      </c>
      <c r="M22" s="363">
        <v>0</v>
      </c>
      <c r="N22" s="284">
        <f t="shared" si="0"/>
        <v>0</v>
      </c>
      <c r="O22" s="282"/>
      <c r="P22" s="282"/>
      <c r="Q22" s="282"/>
      <c r="R22" s="263">
        <f t="shared" si="1"/>
        <v>0</v>
      </c>
      <c r="S22" s="263"/>
      <c r="T22" s="263"/>
      <c r="U22" s="263"/>
      <c r="V22" s="264">
        <v>0</v>
      </c>
      <c r="W22" s="263"/>
      <c r="X22" s="263"/>
      <c r="Y22" s="263"/>
      <c r="Z22" s="352">
        <v>0</v>
      </c>
    </row>
    <row r="23" spans="1:26" ht="13.5" thickBot="1">
      <c r="A23" s="305">
        <v>13</v>
      </c>
      <c r="B23" s="1320" t="s">
        <v>474</v>
      </c>
      <c r="C23" s="1320"/>
      <c r="D23" s="1320"/>
      <c r="E23" s="1321"/>
      <c r="F23" s="327">
        <v>0</v>
      </c>
      <c r="G23" s="327">
        <v>1008</v>
      </c>
      <c r="H23" s="319">
        <v>1008</v>
      </c>
      <c r="I23" s="322">
        <v>0</v>
      </c>
      <c r="J23" s="362">
        <v>0</v>
      </c>
      <c r="K23" s="327">
        <v>0</v>
      </c>
      <c r="L23" s="327">
        <v>0</v>
      </c>
      <c r="M23" s="321">
        <v>0</v>
      </c>
      <c r="N23" s="327">
        <v>0</v>
      </c>
      <c r="O23" s="319"/>
      <c r="P23" s="319"/>
      <c r="Q23" s="319"/>
      <c r="R23" s="325">
        <v>1008</v>
      </c>
      <c r="S23" s="325"/>
      <c r="T23" s="325"/>
      <c r="U23" s="325"/>
      <c r="V23" s="361">
        <v>1008</v>
      </c>
      <c r="W23" s="325"/>
      <c r="X23" s="325"/>
      <c r="Y23" s="325"/>
      <c r="Z23" s="321">
        <f>V23/R23*100</f>
        <v>100</v>
      </c>
    </row>
    <row r="24" spans="1:26" s="26" customFormat="1" ht="13.5" thickBot="1">
      <c r="A24" s="305">
        <v>14</v>
      </c>
      <c r="B24" s="1335" t="s">
        <v>484</v>
      </c>
      <c r="C24" s="1336"/>
      <c r="D24" s="1336"/>
      <c r="E24" s="1337"/>
      <c r="F24" s="309">
        <f>F16+F17+F18+F19+F20+F21+F22</f>
        <v>5142</v>
      </c>
      <c r="G24" s="308">
        <f>G16+G17+G18+G19+G20+G21+G22+G23</f>
        <v>6175</v>
      </c>
      <c r="H24" s="308">
        <f>H16+H17+H18+H19+H20+H21+H22+H23</f>
        <v>7599</v>
      </c>
      <c r="I24" s="307">
        <f>H24/G24*100</f>
        <v>123.06072874493927</v>
      </c>
      <c r="J24" s="317">
        <f>SUM(J16:J23)</f>
        <v>286</v>
      </c>
      <c r="K24" s="312">
        <f>SUM(K16:K23)</f>
        <v>286</v>
      </c>
      <c r="L24" s="312">
        <f>SUM(L16:L23)</f>
        <v>327</v>
      </c>
      <c r="M24" s="307">
        <f>(L24/K24)*100</f>
        <v>114.33566433566433</v>
      </c>
      <c r="N24" s="346">
        <f>N16+N17+N18+N19+N21+N20+N22</f>
        <v>5428</v>
      </c>
      <c r="O24" s="345"/>
      <c r="P24" s="345"/>
      <c r="Q24" s="345"/>
      <c r="R24" s="314">
        <f>SUM(R16:R22)+R23</f>
        <v>6461</v>
      </c>
      <c r="S24" s="314"/>
      <c r="T24" s="314"/>
      <c r="U24" s="314"/>
      <c r="V24" s="1329">
        <f>SUM(V16:V22)+V23</f>
        <v>7926</v>
      </c>
      <c r="W24" s="1330"/>
      <c r="X24" s="1330"/>
      <c r="Y24" s="1330"/>
      <c r="Z24" s="351">
        <f>V24/R24*100</f>
        <v>122.67450859000155</v>
      </c>
    </row>
    <row r="25" spans="1:26" ht="12.75">
      <c r="A25" s="305">
        <v>15</v>
      </c>
      <c r="B25" s="1343" t="s">
        <v>483</v>
      </c>
      <c r="C25" s="1344"/>
      <c r="D25" s="1344"/>
      <c r="E25" s="1345"/>
      <c r="F25" s="336">
        <v>250</v>
      </c>
      <c r="G25" s="356">
        <v>250</v>
      </c>
      <c r="H25" s="356">
        <v>125</v>
      </c>
      <c r="I25" s="354">
        <f>H25/G25*100</f>
        <v>50</v>
      </c>
      <c r="J25" s="360">
        <v>0</v>
      </c>
      <c r="K25" s="359">
        <v>0</v>
      </c>
      <c r="L25" s="359">
        <v>0</v>
      </c>
      <c r="M25" s="358">
        <v>0</v>
      </c>
      <c r="N25" s="357">
        <f>F25+J25</f>
        <v>250</v>
      </c>
      <c r="O25" s="356"/>
      <c r="P25" s="356"/>
      <c r="Q25" s="356"/>
      <c r="R25" s="355">
        <f>G25+L25</f>
        <v>250</v>
      </c>
      <c r="S25" s="355"/>
      <c r="T25" s="355"/>
      <c r="U25" s="355"/>
      <c r="V25" s="1333">
        <f>H25+L25</f>
        <v>125</v>
      </c>
      <c r="W25" s="1334"/>
      <c r="X25" s="1334"/>
      <c r="Y25" s="1334"/>
      <c r="Z25" s="354">
        <f>V25/R25*100</f>
        <v>50</v>
      </c>
    </row>
    <row r="26" spans="1:26" ht="12.75">
      <c r="A26" s="305">
        <v>16</v>
      </c>
      <c r="B26" s="1049" t="s">
        <v>482</v>
      </c>
      <c r="C26" s="1270"/>
      <c r="D26" s="1270"/>
      <c r="E26" s="1271"/>
      <c r="F26" s="284">
        <v>800</v>
      </c>
      <c r="G26" s="282">
        <v>800</v>
      </c>
      <c r="H26" s="282">
        <v>1192</v>
      </c>
      <c r="I26" s="353">
        <f>H26/G26*100</f>
        <v>149</v>
      </c>
      <c r="J26" s="287">
        <v>0</v>
      </c>
      <c r="K26" s="282">
        <v>300</v>
      </c>
      <c r="L26" s="282">
        <v>300</v>
      </c>
      <c r="M26" s="353">
        <f>(L26/K26)*100</f>
        <v>100</v>
      </c>
      <c r="N26" s="287">
        <f>F26+J26</f>
        <v>800</v>
      </c>
      <c r="O26" s="282"/>
      <c r="P26" s="282"/>
      <c r="Q26" s="282"/>
      <c r="R26" s="263">
        <f>G26+L26</f>
        <v>1100</v>
      </c>
      <c r="S26" s="263"/>
      <c r="T26" s="263"/>
      <c r="U26" s="263"/>
      <c r="V26" s="1286">
        <f>H26+L26</f>
        <v>1492</v>
      </c>
      <c r="W26" s="1287"/>
      <c r="X26" s="1287"/>
      <c r="Y26" s="1287"/>
      <c r="Z26" s="352">
        <f>V26/R26*100</f>
        <v>135.63636363636365</v>
      </c>
    </row>
    <row r="27" spans="1:27" ht="12.75">
      <c r="A27" s="305">
        <v>17</v>
      </c>
      <c r="B27" s="1049" t="s">
        <v>481</v>
      </c>
      <c r="C27" s="1270"/>
      <c r="D27" s="1270"/>
      <c r="E27" s="1271"/>
      <c r="F27" s="284">
        <v>856</v>
      </c>
      <c r="G27" s="282">
        <v>856</v>
      </c>
      <c r="H27" s="282">
        <v>642</v>
      </c>
      <c r="I27" s="353">
        <f>H27/G27*100</f>
        <v>75</v>
      </c>
      <c r="J27" s="287">
        <v>0</v>
      </c>
      <c r="K27" s="282">
        <v>0</v>
      </c>
      <c r="L27" s="282">
        <v>0</v>
      </c>
      <c r="M27" s="352">
        <v>0</v>
      </c>
      <c r="N27" s="284">
        <f>F27+J27</f>
        <v>856</v>
      </c>
      <c r="O27" s="282"/>
      <c r="P27" s="282"/>
      <c r="Q27" s="282"/>
      <c r="R27" s="263">
        <f>G27+L27</f>
        <v>856</v>
      </c>
      <c r="S27" s="282"/>
      <c r="T27" s="282"/>
      <c r="U27" s="282"/>
      <c r="V27" s="282">
        <f>H27+L27</f>
        <v>642</v>
      </c>
      <c r="W27" s="282"/>
      <c r="X27" s="282"/>
      <c r="Y27" s="282"/>
      <c r="Z27" s="352">
        <f>V27/R27*100</f>
        <v>75</v>
      </c>
      <c r="AA27" s="6"/>
    </row>
    <row r="28" spans="1:27" ht="13.5" thickBot="1">
      <c r="A28" s="305">
        <v>18</v>
      </c>
      <c r="B28" s="1317" t="s">
        <v>474</v>
      </c>
      <c r="C28" s="1318"/>
      <c r="D28" s="1318"/>
      <c r="E28" s="1319"/>
      <c r="F28" s="327">
        <v>0</v>
      </c>
      <c r="G28" s="319">
        <v>0</v>
      </c>
      <c r="H28" s="319">
        <v>0</v>
      </c>
      <c r="I28" s="321">
        <v>0</v>
      </c>
      <c r="J28" s="320">
        <v>0</v>
      </c>
      <c r="K28" s="319">
        <v>0</v>
      </c>
      <c r="L28" s="319">
        <v>0</v>
      </c>
      <c r="M28" s="321">
        <v>0</v>
      </c>
      <c r="N28" s="327">
        <v>0</v>
      </c>
      <c r="O28" s="319"/>
      <c r="P28" s="319"/>
      <c r="Q28" s="319"/>
      <c r="R28" s="319">
        <v>0</v>
      </c>
      <c r="S28" s="319"/>
      <c r="T28" s="319"/>
      <c r="U28" s="319"/>
      <c r="V28" s="319">
        <v>0</v>
      </c>
      <c r="W28" s="319"/>
      <c r="X28" s="319"/>
      <c r="Y28" s="319"/>
      <c r="Z28" s="321">
        <v>0</v>
      </c>
      <c r="AA28" s="6"/>
    </row>
    <row r="29" spans="1:27" s="26" customFormat="1" ht="13.5" thickBot="1">
      <c r="A29" s="305">
        <v>19</v>
      </c>
      <c r="B29" s="1335" t="s">
        <v>480</v>
      </c>
      <c r="C29" s="1336"/>
      <c r="D29" s="1336"/>
      <c r="E29" s="1337"/>
      <c r="F29" s="346">
        <f>F25+F26+F27</f>
        <v>1906</v>
      </c>
      <c r="G29" s="345">
        <f>G25+G26+G27</f>
        <v>1906</v>
      </c>
      <c r="H29" s="345">
        <f>H25+H26+H27</f>
        <v>1959</v>
      </c>
      <c r="I29" s="351">
        <f>H29/G29*100</f>
        <v>102.78069254984261</v>
      </c>
      <c r="J29" s="350">
        <f>SUM(J25:J26)</f>
        <v>0</v>
      </c>
      <c r="K29" s="349">
        <f>SUM(K25:K26)</f>
        <v>300</v>
      </c>
      <c r="L29" s="348">
        <f>SUM(L25:L26)</f>
        <v>300</v>
      </c>
      <c r="M29" s="347">
        <f>(L29/K29)*100</f>
        <v>100</v>
      </c>
      <c r="N29" s="346">
        <f>N25+N26+N27+N28</f>
        <v>1906</v>
      </c>
      <c r="O29" s="345"/>
      <c r="P29" s="345"/>
      <c r="Q29" s="345"/>
      <c r="R29" s="345">
        <f>R25+R26+R27+R28</f>
        <v>2206</v>
      </c>
      <c r="S29" s="345"/>
      <c r="T29" s="345"/>
      <c r="U29" s="345"/>
      <c r="V29" s="1357">
        <f>V25+V26+V27+V28</f>
        <v>2259</v>
      </c>
      <c r="W29" s="1357"/>
      <c r="X29" s="1357"/>
      <c r="Y29" s="1357"/>
      <c r="Z29" s="344">
        <f>V29/R29*100</f>
        <v>102.40253853127834</v>
      </c>
      <c r="AA29" s="240"/>
    </row>
    <row r="30" spans="1:26" ht="12.75">
      <c r="A30" s="305">
        <v>20</v>
      </c>
      <c r="B30" s="1373" t="s">
        <v>474</v>
      </c>
      <c r="C30" s="1374"/>
      <c r="D30" s="1374"/>
      <c r="E30" s="1375"/>
      <c r="F30" s="342">
        <v>0</v>
      </c>
      <c r="G30" s="341">
        <v>216</v>
      </c>
      <c r="H30" s="341">
        <v>216</v>
      </c>
      <c r="I30" s="326">
        <v>0</v>
      </c>
      <c r="J30" s="343">
        <v>0</v>
      </c>
      <c r="K30" s="341">
        <v>0</v>
      </c>
      <c r="L30" s="341">
        <v>0</v>
      </c>
      <c r="M30" s="326">
        <v>0</v>
      </c>
      <c r="N30" s="342">
        <v>0</v>
      </c>
      <c r="O30" s="341"/>
      <c r="P30" s="341"/>
      <c r="Q30" s="341"/>
      <c r="R30" s="341">
        <v>216</v>
      </c>
      <c r="S30" s="341"/>
      <c r="T30" s="341"/>
      <c r="U30" s="341"/>
      <c r="V30" s="1358">
        <v>216</v>
      </c>
      <c r="W30" s="1358"/>
      <c r="X30" s="1358"/>
      <c r="Y30" s="1359"/>
      <c r="Z30" s="340">
        <v>0</v>
      </c>
    </row>
    <row r="31" spans="1:26" ht="13.5" thickBot="1">
      <c r="A31" s="305">
        <v>21</v>
      </c>
      <c r="B31" s="1049" t="s">
        <v>479</v>
      </c>
      <c r="C31" s="1270"/>
      <c r="D31" s="1270"/>
      <c r="E31" s="1271"/>
      <c r="F31" s="327">
        <v>0</v>
      </c>
      <c r="G31" s="319">
        <v>0</v>
      </c>
      <c r="H31" s="319">
        <v>17</v>
      </c>
      <c r="I31" s="322">
        <v>0</v>
      </c>
      <c r="J31" s="320">
        <v>0</v>
      </c>
      <c r="K31" s="319">
        <v>200</v>
      </c>
      <c r="L31" s="319">
        <v>200</v>
      </c>
      <c r="M31" s="322">
        <v>0</v>
      </c>
      <c r="N31" s="327">
        <f>F31+J31</f>
        <v>0</v>
      </c>
      <c r="O31" s="319"/>
      <c r="P31" s="319"/>
      <c r="Q31" s="319"/>
      <c r="R31" s="325">
        <f>G31+K31</f>
        <v>200</v>
      </c>
      <c r="S31" s="325"/>
      <c r="T31" s="325"/>
      <c r="U31" s="325"/>
      <c r="V31" s="1340">
        <f>H31+L31</f>
        <v>217</v>
      </c>
      <c r="W31" s="1341"/>
      <c r="X31" s="1341"/>
      <c r="Y31" s="1341"/>
      <c r="Z31" s="339">
        <v>0</v>
      </c>
    </row>
    <row r="32" spans="1:26" s="26" customFormat="1" ht="13.5" thickBot="1">
      <c r="A32" s="305">
        <v>22</v>
      </c>
      <c r="B32" s="1335" t="s">
        <v>478</v>
      </c>
      <c r="C32" s="1336"/>
      <c r="D32" s="1336"/>
      <c r="E32" s="1337"/>
      <c r="F32" s="312">
        <v>0</v>
      </c>
      <c r="G32" s="313">
        <f>G30+G31</f>
        <v>216</v>
      </c>
      <c r="H32" s="313">
        <f>SUM(H30:H31)</f>
        <v>233</v>
      </c>
      <c r="I32" s="307">
        <v>0</v>
      </c>
      <c r="J32" s="310">
        <f>SUM(J30:J31)</f>
        <v>0</v>
      </c>
      <c r="K32" s="308">
        <f>SUM(K30:K31)</f>
        <v>200</v>
      </c>
      <c r="L32" s="313">
        <f>SUM(L30:L31)</f>
        <v>200</v>
      </c>
      <c r="M32" s="307">
        <v>0</v>
      </c>
      <c r="N32" s="338">
        <v>0</v>
      </c>
      <c r="O32" s="337"/>
      <c r="P32" s="337"/>
      <c r="Q32" s="337"/>
      <c r="R32" s="309">
        <f>R30+R31</f>
        <v>416</v>
      </c>
      <c r="S32" s="309"/>
      <c r="T32" s="309"/>
      <c r="U32" s="309"/>
      <c r="V32" s="1338">
        <f>SUM(V30:V31)</f>
        <v>433</v>
      </c>
      <c r="W32" s="1339"/>
      <c r="X32" s="1339"/>
      <c r="Y32" s="1339"/>
      <c r="Z32" s="311">
        <v>0</v>
      </c>
    </row>
    <row r="33" spans="1:26" ht="12.75">
      <c r="A33" s="305">
        <v>23</v>
      </c>
      <c r="B33" s="1343" t="s">
        <v>477</v>
      </c>
      <c r="C33" s="1344"/>
      <c r="D33" s="1344"/>
      <c r="E33" s="1345"/>
      <c r="F33" s="336">
        <v>1000</v>
      </c>
      <c r="G33" s="334">
        <v>1000</v>
      </c>
      <c r="H33" s="334">
        <v>1058</v>
      </c>
      <c r="I33" s="332">
        <f>H33/G33*100</f>
        <v>105.80000000000001</v>
      </c>
      <c r="J33" s="335">
        <v>18720</v>
      </c>
      <c r="K33" s="334">
        <v>18720</v>
      </c>
      <c r="L33" s="334">
        <v>18810</v>
      </c>
      <c r="M33" s="332">
        <f>(L33/K33)*100</f>
        <v>100.48076923076923</v>
      </c>
      <c r="N33" s="335">
        <f>F33+J33</f>
        <v>19720</v>
      </c>
      <c r="O33" s="334"/>
      <c r="P33" s="334"/>
      <c r="Q33" s="334"/>
      <c r="R33" s="333">
        <f>G33+K33</f>
        <v>19720</v>
      </c>
      <c r="S33" s="333"/>
      <c r="T33" s="333"/>
      <c r="U33" s="333"/>
      <c r="V33" s="1360">
        <f>H33+L33</f>
        <v>19868</v>
      </c>
      <c r="W33" s="1361"/>
      <c r="X33" s="1361"/>
      <c r="Y33" s="1361"/>
      <c r="Z33" s="332">
        <f>V33/R33*100</f>
        <v>100.75050709939148</v>
      </c>
    </row>
    <row r="34" spans="1:26" ht="12.75">
      <c r="A34" s="305">
        <v>24</v>
      </c>
      <c r="B34" s="1043" t="s">
        <v>476</v>
      </c>
      <c r="C34" s="1051"/>
      <c r="D34" s="1051"/>
      <c r="E34" s="1240"/>
      <c r="F34" s="331">
        <v>0</v>
      </c>
      <c r="G34" s="329">
        <v>0</v>
      </c>
      <c r="H34" s="329">
        <v>0</v>
      </c>
      <c r="I34" s="318">
        <v>0</v>
      </c>
      <c r="J34" s="330">
        <v>5640</v>
      </c>
      <c r="K34" s="329">
        <v>5640</v>
      </c>
      <c r="L34" s="329">
        <v>5692</v>
      </c>
      <c r="M34" s="318">
        <f>(L34/K34)*100</f>
        <v>100.92198581560284</v>
      </c>
      <c r="N34" s="330">
        <f>F34+J34</f>
        <v>5640</v>
      </c>
      <c r="O34" s="329"/>
      <c r="P34" s="329"/>
      <c r="Q34" s="329"/>
      <c r="R34" s="328">
        <f>G34+K34</f>
        <v>5640</v>
      </c>
      <c r="S34" s="328"/>
      <c r="T34" s="328"/>
      <c r="U34" s="328"/>
      <c r="V34" s="1326">
        <f>H34+L34</f>
        <v>5692</v>
      </c>
      <c r="W34" s="1327"/>
      <c r="X34" s="1327"/>
      <c r="Y34" s="1327"/>
      <c r="Z34" s="318">
        <f>V34/R34*100</f>
        <v>100.92198581560284</v>
      </c>
    </row>
    <row r="35" spans="1:26" ht="12.75">
      <c r="A35" s="305">
        <v>25</v>
      </c>
      <c r="B35" s="1043" t="s">
        <v>475</v>
      </c>
      <c r="C35" s="1051"/>
      <c r="D35" s="1051"/>
      <c r="E35" s="1240"/>
      <c r="F35" s="327">
        <v>0</v>
      </c>
      <c r="G35" s="319">
        <v>0</v>
      </c>
      <c r="H35" s="319">
        <v>0</v>
      </c>
      <c r="I35" s="326">
        <v>0</v>
      </c>
      <c r="J35" s="320">
        <v>0</v>
      </c>
      <c r="K35" s="319">
        <v>0</v>
      </c>
      <c r="L35" s="319">
        <v>0</v>
      </c>
      <c r="M35" s="326">
        <v>0</v>
      </c>
      <c r="N35" s="320">
        <f>F35+K35</f>
        <v>0</v>
      </c>
      <c r="O35" s="319"/>
      <c r="P35" s="319"/>
      <c r="Q35" s="319"/>
      <c r="R35" s="325">
        <f>G35+K35</f>
        <v>0</v>
      </c>
      <c r="S35" s="325"/>
      <c r="T35" s="325"/>
      <c r="U35" s="325"/>
      <c r="V35" s="1340">
        <f>H35+L35</f>
        <v>0</v>
      </c>
      <c r="W35" s="1341"/>
      <c r="X35" s="1341"/>
      <c r="Y35" s="1341"/>
      <c r="Z35" s="318">
        <v>0</v>
      </c>
    </row>
    <row r="36" spans="1:26" ht="13.5" thickBot="1">
      <c r="A36" s="305">
        <v>26</v>
      </c>
      <c r="B36" s="1317" t="s">
        <v>474</v>
      </c>
      <c r="C36" s="1318"/>
      <c r="D36" s="1318"/>
      <c r="E36" s="1319"/>
      <c r="F36" s="324">
        <v>0</v>
      </c>
      <c r="G36" s="323">
        <v>623</v>
      </c>
      <c r="H36" s="323">
        <v>623</v>
      </c>
      <c r="I36" s="322">
        <v>0</v>
      </c>
      <c r="J36" s="320">
        <v>0</v>
      </c>
      <c r="K36" s="319">
        <v>0</v>
      </c>
      <c r="L36" s="319">
        <v>0</v>
      </c>
      <c r="M36" s="321">
        <v>0</v>
      </c>
      <c r="N36" s="320">
        <v>0</v>
      </c>
      <c r="O36" s="319"/>
      <c r="P36" s="319"/>
      <c r="Q36" s="319"/>
      <c r="R36" s="319">
        <v>623</v>
      </c>
      <c r="S36" s="319"/>
      <c r="T36" s="319"/>
      <c r="U36" s="319"/>
      <c r="V36" s="319">
        <v>623</v>
      </c>
      <c r="W36" s="319"/>
      <c r="X36" s="319"/>
      <c r="Y36" s="319"/>
      <c r="Z36" s="318">
        <f>V36/R36*100</f>
        <v>100</v>
      </c>
    </row>
    <row r="37" spans="1:26" s="26" customFormat="1" ht="13.5" thickBot="1">
      <c r="A37" s="305">
        <v>27</v>
      </c>
      <c r="B37" s="1335" t="s">
        <v>473</v>
      </c>
      <c r="C37" s="1336"/>
      <c r="D37" s="1336"/>
      <c r="E37" s="1337"/>
      <c r="F37" s="314">
        <f>SUM(F33:F35)</f>
        <v>1000</v>
      </c>
      <c r="G37" s="313">
        <f>SUM(G33:G35)+G36</f>
        <v>1623</v>
      </c>
      <c r="H37" s="313">
        <f>SUM(H33:H36)</f>
        <v>1681</v>
      </c>
      <c r="I37" s="307">
        <f>H37/G37*100</f>
        <v>103.573629081947</v>
      </c>
      <c r="J37" s="317">
        <f>J33+J34</f>
        <v>24360</v>
      </c>
      <c r="K37" s="312">
        <f>K33+K34</f>
        <v>24360</v>
      </c>
      <c r="L37" s="312">
        <f>L33+L34</f>
        <v>24502</v>
      </c>
      <c r="M37" s="307">
        <f>(L37/K37)*100</f>
        <v>100.58292282430214</v>
      </c>
      <c r="N37" s="312">
        <f>SUM(N33:Q35)</f>
        <v>25360</v>
      </c>
      <c r="O37" s="313"/>
      <c r="P37" s="313"/>
      <c r="Q37" s="313"/>
      <c r="R37" s="309">
        <f>R33+L43+R35+R36+R34</f>
        <v>25983</v>
      </c>
      <c r="S37" s="309"/>
      <c r="T37" s="309"/>
      <c r="U37" s="309"/>
      <c r="V37" s="1338">
        <f>V33+V34+V35+V36</f>
        <v>26183</v>
      </c>
      <c r="W37" s="1339"/>
      <c r="X37" s="1339"/>
      <c r="Y37" s="1339"/>
      <c r="Z37" s="307">
        <f>V37/R37*100</f>
        <v>100.76973405688334</v>
      </c>
    </row>
    <row r="38" spans="1:26" s="26" customFormat="1" ht="13.5" thickBot="1">
      <c r="A38" s="123">
        <v>28</v>
      </c>
      <c r="B38" s="316"/>
      <c r="C38" s="316" t="s">
        <v>472</v>
      </c>
      <c r="D38" s="316"/>
      <c r="E38" s="315"/>
      <c r="F38" s="314">
        <f>F15+F24+F29+F37</f>
        <v>10766</v>
      </c>
      <c r="G38" s="313">
        <f>G15+G24+G29+G37+G32</f>
        <v>13494</v>
      </c>
      <c r="H38" s="312">
        <f>H15+J44+H24+H29+H32+H37</f>
        <v>15199</v>
      </c>
      <c r="I38" s="311">
        <f>H38/G38*100</f>
        <v>112.63524529420484</v>
      </c>
      <c r="J38" s="310">
        <f>J15+J24+J29+J37+J32</f>
        <v>24899</v>
      </c>
      <c r="K38" s="308">
        <f>K15+K24+K29+K37+K32</f>
        <v>25399</v>
      </c>
      <c r="L38" s="308">
        <f>L15+L24+L29+L37+L32</f>
        <v>25608</v>
      </c>
      <c r="M38" s="307">
        <f>(L38/K38)*100</f>
        <v>100.82286704200953</v>
      </c>
      <c r="N38" s="309">
        <f>N15+N24+N29+N37</f>
        <v>35665</v>
      </c>
      <c r="O38" s="308">
        <f>O15+O24+O29+O37</f>
        <v>0</v>
      </c>
      <c r="P38" s="308">
        <f>P15+P24+P29+P37</f>
        <v>0</v>
      </c>
      <c r="Q38" s="308">
        <f>Q15+Q24+Q29+Q37</f>
        <v>0</v>
      </c>
      <c r="R38" s="308">
        <f>R15+R24+R29+R32+R37</f>
        <v>38893</v>
      </c>
      <c r="S38" s="308">
        <f>S15+S24+S29+S37</f>
        <v>0</v>
      </c>
      <c r="T38" s="308">
        <f>T15+T24+T29+T37</f>
        <v>0</v>
      </c>
      <c r="U38" s="308">
        <f>U15+U24+U29+U37</f>
        <v>0</v>
      </c>
      <c r="V38" s="1338">
        <f>V15+V24+V29+V32+V37</f>
        <v>40807</v>
      </c>
      <c r="W38" s="1339"/>
      <c r="X38" s="1356"/>
      <c r="Y38" s="308"/>
      <c r="Z38" s="307">
        <f>V38/R38*100</f>
        <v>104.92119404520093</v>
      </c>
    </row>
    <row r="39" spans="1:5" ht="12.75">
      <c r="A39" s="1370"/>
      <c r="B39" s="1371"/>
      <c r="C39" s="1371"/>
      <c r="D39" s="1371"/>
      <c r="E39" s="1371"/>
    </row>
    <row r="44" ht="12.75" customHeight="1"/>
  </sheetData>
  <sheetProtection/>
  <mergeCells count="71">
    <mergeCell ref="V11:Y11"/>
    <mergeCell ref="V8:Z8"/>
    <mergeCell ref="J9:K9"/>
    <mergeCell ref="N9:R9"/>
    <mergeCell ref="V10:Y10"/>
    <mergeCell ref="N10:Q10"/>
    <mergeCell ref="N8:Q8"/>
    <mergeCell ref="A39:E39"/>
    <mergeCell ref="B29:E29"/>
    <mergeCell ref="B22:E22"/>
    <mergeCell ref="B16:E16"/>
    <mergeCell ref="B17:E17"/>
    <mergeCell ref="B30:E30"/>
    <mergeCell ref="B32:E32"/>
    <mergeCell ref="B31:E31"/>
    <mergeCell ref="B28:E28"/>
    <mergeCell ref="B20:E20"/>
    <mergeCell ref="R1:Z1"/>
    <mergeCell ref="G3:L3"/>
    <mergeCell ref="V16:Y16"/>
    <mergeCell ref="V17:Y17"/>
    <mergeCell ref="V13:Y13"/>
    <mergeCell ref="V15:Y15"/>
    <mergeCell ref="V12:Y12"/>
    <mergeCell ref="F6:I7"/>
    <mergeCell ref="H8:I8"/>
    <mergeCell ref="L8:M8"/>
    <mergeCell ref="V38:X38"/>
    <mergeCell ref="V26:Y26"/>
    <mergeCell ref="V29:Y29"/>
    <mergeCell ref="V30:Y30"/>
    <mergeCell ref="V31:Y31"/>
    <mergeCell ref="V34:Y34"/>
    <mergeCell ref="V33:Y33"/>
    <mergeCell ref="V32:Y32"/>
    <mergeCell ref="B33:E33"/>
    <mergeCell ref="B36:E36"/>
    <mergeCell ref="A2:Z2"/>
    <mergeCell ref="J6:M7"/>
    <mergeCell ref="A4:Y4"/>
    <mergeCell ref="B24:E24"/>
    <mergeCell ref="B25:E25"/>
    <mergeCell ref="B26:E26"/>
    <mergeCell ref="N6:Z7"/>
    <mergeCell ref="B11:E11"/>
    <mergeCell ref="B37:E37"/>
    <mergeCell ref="V37:Y37"/>
    <mergeCell ref="B34:E34"/>
    <mergeCell ref="V9:Y9"/>
    <mergeCell ref="B35:E35"/>
    <mergeCell ref="V35:Y35"/>
    <mergeCell ref="B19:E19"/>
    <mergeCell ref="B18:E18"/>
    <mergeCell ref="B12:E12"/>
    <mergeCell ref="B15:E15"/>
    <mergeCell ref="V20:Y20"/>
    <mergeCell ref="V21:Y21"/>
    <mergeCell ref="V24:Y24"/>
    <mergeCell ref="B5:E5"/>
    <mergeCell ref="A5:A10"/>
    <mergeCell ref="V25:Y25"/>
    <mergeCell ref="F9:G9"/>
    <mergeCell ref="V18:Y18"/>
    <mergeCell ref="V19:Y19"/>
    <mergeCell ref="B10:E10"/>
    <mergeCell ref="B27:E27"/>
    <mergeCell ref="B14:E14"/>
    <mergeCell ref="B23:E23"/>
    <mergeCell ref="B13:E13"/>
    <mergeCell ref="B21:E21"/>
    <mergeCell ref="B6:E9"/>
  </mergeCells>
  <printOptions/>
  <pageMargins left="0.3937007874015748" right="0.3937007874015748" top="0.5511811023622047" bottom="0.66929133858267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J40"/>
  <sheetViews>
    <sheetView zoomScale="82" zoomScaleNormal="82" zoomScalePageLayoutView="0" workbookViewId="0" topLeftCell="N7">
      <selection activeCell="R12" sqref="R12:R35"/>
    </sheetView>
  </sheetViews>
  <sheetFormatPr defaultColWidth="9.140625" defaultRowHeight="12.75"/>
  <cols>
    <col min="1" max="1" width="4.140625" style="0" customWidth="1"/>
    <col min="2" max="2" width="8.140625" style="0" customWidth="1"/>
    <col min="5" max="5" width="5.140625" style="0" customWidth="1"/>
    <col min="6" max="6" width="8.57421875" style="0" customWidth="1"/>
    <col min="7" max="7" width="8.7109375" style="0" customWidth="1"/>
    <col min="8" max="9" width="7.00390625" style="0" customWidth="1"/>
    <col min="10" max="10" width="7.7109375" style="0" customWidth="1"/>
    <col min="11" max="11" width="7.8515625" style="0" customWidth="1"/>
    <col min="12" max="13" width="7.00390625" style="0" customWidth="1"/>
    <col min="14" max="15" width="7.7109375" style="0" customWidth="1"/>
    <col min="16" max="17" width="7.00390625" style="0" customWidth="1"/>
    <col min="18" max="21" width="7.7109375" style="0" customWidth="1"/>
    <col min="22" max="22" width="16.7109375" style="0" customWidth="1"/>
    <col min="25" max="25" width="10.421875" style="0" customWidth="1"/>
    <col min="26" max="26" width="11.57421875" style="0" customWidth="1"/>
    <col min="27" max="27" width="11.28125" style="0" customWidth="1"/>
    <col min="29" max="29" width="11.421875" style="0" customWidth="1"/>
    <col min="30" max="30" width="10.8515625" style="0" customWidth="1"/>
    <col min="35" max="35" width="6.28125" style="0" customWidth="1"/>
    <col min="36" max="36" width="7.140625" style="0" customWidth="1"/>
    <col min="37" max="38" width="7.7109375" style="0" customWidth="1"/>
    <col min="39" max="39" width="7.140625" style="0" customWidth="1"/>
    <col min="40" max="40" width="7.57421875" style="0" customWidth="1"/>
    <col min="41" max="41" width="7.7109375" style="0" customWidth="1"/>
    <col min="42" max="42" width="8.00390625" style="0" customWidth="1"/>
    <col min="43" max="43" width="7.8515625" style="0" customWidth="1"/>
    <col min="44" max="44" width="7.28125" style="0" customWidth="1"/>
    <col min="45" max="45" width="6.7109375" style="0" customWidth="1"/>
    <col min="46" max="46" width="7.421875" style="0" customWidth="1"/>
    <col min="47" max="47" width="6.8515625" style="0" customWidth="1"/>
  </cols>
  <sheetData>
    <row r="1" spans="14:21" ht="12.75">
      <c r="N1" s="1362"/>
      <c r="O1" s="1362"/>
      <c r="P1" s="1362"/>
      <c r="Q1" s="1362"/>
      <c r="R1" s="9"/>
      <c r="S1" s="9"/>
      <c r="T1" s="9"/>
      <c r="U1" s="9"/>
    </row>
    <row r="2" spans="14:47" ht="12.75">
      <c r="N2" s="99"/>
      <c r="O2" s="99"/>
      <c r="P2" s="1380" t="s">
        <v>548</v>
      </c>
      <c r="Q2" s="1380"/>
      <c r="R2" s="9"/>
      <c r="S2" s="9"/>
      <c r="T2" s="9"/>
      <c r="U2" s="9"/>
      <c r="AC2" s="1380" t="s">
        <v>406</v>
      </c>
      <c r="AD2" s="1380"/>
      <c r="AT2" s="1380" t="s">
        <v>547</v>
      </c>
      <c r="AU2" s="1380"/>
    </row>
    <row r="3" spans="1:47" ht="12.75">
      <c r="A3" s="1097" t="s">
        <v>546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346" t="s">
        <v>546</v>
      </c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158" t="s">
        <v>546</v>
      </c>
      <c r="AF3" s="1158"/>
      <c r="AG3" s="1158"/>
      <c r="AH3" s="1158"/>
      <c r="AI3" s="1158"/>
      <c r="AJ3" s="1158"/>
      <c r="AK3" s="1158"/>
      <c r="AL3" s="1158"/>
      <c r="AM3" s="1158"/>
      <c r="AN3" s="1158"/>
      <c r="AO3" s="1158"/>
      <c r="AP3" s="1158"/>
      <c r="AQ3" s="1158"/>
      <c r="AR3" s="1158"/>
      <c r="AS3" s="1158"/>
      <c r="AT3" s="1158"/>
      <c r="AU3" s="1158"/>
    </row>
    <row r="4" spans="1:47" ht="16.5" customHeight="1">
      <c r="A4" s="1346" t="s">
        <v>545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097" t="s">
        <v>544</v>
      </c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158" t="s">
        <v>544</v>
      </c>
      <c r="AF4" s="1158"/>
      <c r="AG4" s="1158"/>
      <c r="AH4" s="1158"/>
      <c r="AI4" s="1158"/>
      <c r="AJ4" s="1158"/>
      <c r="AK4" s="1158"/>
      <c r="AL4" s="1158"/>
      <c r="AM4" s="1158"/>
      <c r="AN4" s="1158"/>
      <c r="AO4" s="1158"/>
      <c r="AP4" s="1158"/>
      <c r="AQ4" s="1158"/>
      <c r="AR4" s="1158"/>
      <c r="AS4" s="1158"/>
      <c r="AT4" s="1158"/>
      <c r="AU4" s="1158"/>
    </row>
    <row r="5" spans="1:47" ht="16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81" t="s">
        <v>4</v>
      </c>
      <c r="Q5" s="1381"/>
      <c r="R5" s="2"/>
      <c r="S5" s="2"/>
      <c r="T5" s="2"/>
      <c r="U5" s="2"/>
      <c r="AC5" s="1381" t="s">
        <v>4</v>
      </c>
      <c r="AD5" s="1381"/>
      <c r="AT5" s="1381" t="s">
        <v>4</v>
      </c>
      <c r="AU5" s="1381"/>
    </row>
    <row r="6" spans="1:47" ht="13.5" thickBot="1">
      <c r="A6" s="473"/>
      <c r="B6" s="1382" t="s">
        <v>41</v>
      </c>
      <c r="C6" s="1383"/>
      <c r="D6" s="1383"/>
      <c r="E6" s="1384"/>
      <c r="F6" s="469" t="s">
        <v>27</v>
      </c>
      <c r="G6" s="469" t="s">
        <v>28</v>
      </c>
      <c r="H6" s="469" t="s">
        <v>29</v>
      </c>
      <c r="I6" s="469" t="s">
        <v>30</v>
      </c>
      <c r="J6" s="469" t="s">
        <v>439</v>
      </c>
      <c r="K6" s="469" t="s">
        <v>438</v>
      </c>
      <c r="L6" s="469" t="s">
        <v>437</v>
      </c>
      <c r="M6" s="469" t="s">
        <v>436</v>
      </c>
      <c r="N6" s="469" t="s">
        <v>435</v>
      </c>
      <c r="O6" s="469" t="s">
        <v>434</v>
      </c>
      <c r="P6" s="469" t="s">
        <v>433</v>
      </c>
      <c r="Q6" s="471" t="s">
        <v>432</v>
      </c>
      <c r="R6" s="472"/>
      <c r="S6" s="1382" t="s">
        <v>405</v>
      </c>
      <c r="T6" s="1383"/>
      <c r="U6" s="1383"/>
      <c r="V6" s="1384"/>
      <c r="W6" s="469" t="s">
        <v>404</v>
      </c>
      <c r="X6" s="469" t="s">
        <v>403</v>
      </c>
      <c r="Y6" s="469" t="s">
        <v>402</v>
      </c>
      <c r="Z6" s="469" t="s">
        <v>401</v>
      </c>
      <c r="AA6" s="469" t="s">
        <v>400</v>
      </c>
      <c r="AB6" s="469" t="s">
        <v>543</v>
      </c>
      <c r="AC6" s="469" t="s">
        <v>399</v>
      </c>
      <c r="AD6" s="471" t="s">
        <v>398</v>
      </c>
      <c r="AE6" s="470"/>
      <c r="AF6" s="1385" t="s">
        <v>397</v>
      </c>
      <c r="AG6" s="1383"/>
      <c r="AH6" s="1383"/>
      <c r="AI6" s="1384"/>
      <c r="AJ6" s="469" t="s">
        <v>396</v>
      </c>
      <c r="AK6" s="468" t="s">
        <v>395</v>
      </c>
      <c r="AL6" s="468" t="s">
        <v>394</v>
      </c>
      <c r="AM6" s="468" t="s">
        <v>393</v>
      </c>
      <c r="AN6" s="468" t="s">
        <v>366</v>
      </c>
      <c r="AO6" s="468" t="s">
        <v>365</v>
      </c>
      <c r="AP6" s="468" t="s">
        <v>364</v>
      </c>
      <c r="AQ6" s="468" t="s">
        <v>363</v>
      </c>
      <c r="AR6" s="468" t="s">
        <v>362</v>
      </c>
      <c r="AS6" s="468" t="s">
        <v>361</v>
      </c>
      <c r="AT6" s="468" t="s">
        <v>360</v>
      </c>
      <c r="AU6" s="467" t="s">
        <v>359</v>
      </c>
    </row>
    <row r="7" spans="1:47" ht="15.75" customHeight="1">
      <c r="A7" s="1402" t="s">
        <v>471</v>
      </c>
      <c r="B7" s="1392" t="s">
        <v>542</v>
      </c>
      <c r="C7" s="1393"/>
      <c r="D7" s="1393"/>
      <c r="E7" s="1394"/>
      <c r="F7" s="1405" t="s">
        <v>541</v>
      </c>
      <c r="G7" s="1322"/>
      <c r="H7" s="1322"/>
      <c r="I7" s="1323"/>
      <c r="J7" s="1126" t="s">
        <v>540</v>
      </c>
      <c r="K7" s="1126"/>
      <c r="L7" s="1126"/>
      <c r="M7" s="1126"/>
      <c r="N7" s="1126"/>
      <c r="O7" s="1126"/>
      <c r="P7" s="1126"/>
      <c r="Q7" s="1273"/>
      <c r="R7" s="1403" t="s">
        <v>538</v>
      </c>
      <c r="S7" s="1249" t="s">
        <v>537</v>
      </c>
      <c r="T7" s="1249"/>
      <c r="U7" s="1249"/>
      <c r="V7" s="1408"/>
      <c r="W7" s="1326" t="s">
        <v>539</v>
      </c>
      <c r="X7" s="1327"/>
      <c r="Y7" s="1327"/>
      <c r="Z7" s="1327"/>
      <c r="AA7" s="1327"/>
      <c r="AB7" s="1327"/>
      <c r="AC7" s="1327"/>
      <c r="AD7" s="1410"/>
      <c r="AE7" s="1411" t="s">
        <v>538</v>
      </c>
      <c r="AF7" s="1246" t="s">
        <v>537</v>
      </c>
      <c r="AG7" s="1246"/>
      <c r="AH7" s="1246"/>
      <c r="AI7" s="1413"/>
      <c r="AJ7" s="1359" t="s">
        <v>536</v>
      </c>
      <c r="AK7" s="1416"/>
      <c r="AL7" s="1416"/>
      <c r="AM7" s="1416"/>
      <c r="AN7" s="1416"/>
      <c r="AO7" s="1416"/>
      <c r="AP7" s="1416"/>
      <c r="AQ7" s="1416"/>
      <c r="AR7" s="1416"/>
      <c r="AS7" s="1416"/>
      <c r="AT7" s="1416"/>
      <c r="AU7" s="1417"/>
    </row>
    <row r="8" spans="1:47" ht="15" customHeight="1">
      <c r="A8" s="1403"/>
      <c r="B8" s="1395"/>
      <c r="C8" s="1396"/>
      <c r="D8" s="1396"/>
      <c r="E8" s="1397"/>
      <c r="F8" s="1406"/>
      <c r="G8" s="1324"/>
      <c r="H8" s="1324"/>
      <c r="I8" s="1325"/>
      <c r="J8" s="1195" t="s">
        <v>430</v>
      </c>
      <c r="K8" s="1195"/>
      <c r="L8" s="1195"/>
      <c r="M8" s="1196"/>
      <c r="N8" s="1194" t="s">
        <v>535</v>
      </c>
      <c r="O8" s="1195"/>
      <c r="P8" s="1195"/>
      <c r="Q8" s="1285"/>
      <c r="R8" s="1403"/>
      <c r="S8" s="1249"/>
      <c r="T8" s="1249"/>
      <c r="U8" s="1249"/>
      <c r="V8" s="1408"/>
      <c r="W8" s="1125" t="s">
        <v>392</v>
      </c>
      <c r="X8" s="1126"/>
      <c r="Y8" s="1126"/>
      <c r="Z8" s="1127"/>
      <c r="AA8" s="1125" t="s">
        <v>534</v>
      </c>
      <c r="AB8" s="1126"/>
      <c r="AC8" s="1126"/>
      <c r="AD8" s="1273"/>
      <c r="AE8" s="1412"/>
      <c r="AF8" s="1249"/>
      <c r="AG8" s="1249"/>
      <c r="AH8" s="1249"/>
      <c r="AI8" s="1408"/>
      <c r="AJ8" s="1194" t="s">
        <v>351</v>
      </c>
      <c r="AK8" s="1195"/>
      <c r="AL8" s="1195"/>
      <c r="AM8" s="1196"/>
      <c r="AN8" s="1194" t="s">
        <v>350</v>
      </c>
      <c r="AO8" s="1195"/>
      <c r="AP8" s="1195"/>
      <c r="AQ8" s="1196"/>
      <c r="AR8" s="1194" t="s">
        <v>533</v>
      </c>
      <c r="AS8" s="1195"/>
      <c r="AT8" s="1195"/>
      <c r="AU8" s="1285"/>
    </row>
    <row r="9" spans="1:47" ht="14.25" customHeight="1">
      <c r="A9" s="1403"/>
      <c r="B9" s="1395"/>
      <c r="C9" s="1396"/>
      <c r="D9" s="1396"/>
      <c r="E9" s="1397"/>
      <c r="F9" s="465" t="s">
        <v>0</v>
      </c>
      <c r="G9" s="151" t="s">
        <v>1</v>
      </c>
      <c r="H9" s="1161" t="s">
        <v>2</v>
      </c>
      <c r="I9" s="1401"/>
      <c r="J9" s="133" t="s">
        <v>0</v>
      </c>
      <c r="K9" s="110" t="s">
        <v>1</v>
      </c>
      <c r="L9" s="1050" t="s">
        <v>2</v>
      </c>
      <c r="M9" s="1050"/>
      <c r="N9" s="110" t="s">
        <v>0</v>
      </c>
      <c r="O9" s="110" t="s">
        <v>1</v>
      </c>
      <c r="P9" s="1050" t="s">
        <v>2</v>
      </c>
      <c r="Q9" s="1265"/>
      <c r="R9" s="1403"/>
      <c r="S9" s="1249"/>
      <c r="T9" s="1249"/>
      <c r="U9" s="1249"/>
      <c r="V9" s="1408"/>
      <c r="W9" s="110" t="s">
        <v>0</v>
      </c>
      <c r="X9" s="110" t="s">
        <v>532</v>
      </c>
      <c r="Y9" s="1125" t="s">
        <v>2</v>
      </c>
      <c r="Z9" s="1418"/>
      <c r="AA9" s="133" t="s">
        <v>0</v>
      </c>
      <c r="AB9" s="110" t="s">
        <v>532</v>
      </c>
      <c r="AC9" s="1125" t="s">
        <v>2</v>
      </c>
      <c r="AD9" s="1273"/>
      <c r="AE9" s="1412"/>
      <c r="AF9" s="1249"/>
      <c r="AG9" s="1249"/>
      <c r="AH9" s="1249"/>
      <c r="AI9" s="1408"/>
      <c r="AJ9" s="110" t="s">
        <v>0</v>
      </c>
      <c r="AK9" s="110" t="s">
        <v>532</v>
      </c>
      <c r="AL9" s="365" t="s">
        <v>2</v>
      </c>
      <c r="AM9" s="105"/>
      <c r="AN9" s="305" t="s">
        <v>0</v>
      </c>
      <c r="AO9" s="305" t="s">
        <v>532</v>
      </c>
      <c r="AP9" s="365" t="s">
        <v>2</v>
      </c>
      <c r="AQ9" s="105"/>
      <c r="AR9" s="305" t="s">
        <v>0</v>
      </c>
      <c r="AS9" s="305" t="s">
        <v>532</v>
      </c>
      <c r="AT9" s="365" t="s">
        <v>2</v>
      </c>
      <c r="AU9" s="466"/>
    </row>
    <row r="10" spans="1:47" ht="27.75" customHeight="1">
      <c r="A10" s="1403"/>
      <c r="B10" s="1395"/>
      <c r="C10" s="1396"/>
      <c r="D10" s="1396"/>
      <c r="E10" s="1397"/>
      <c r="F10" s="1407" t="s">
        <v>3</v>
      </c>
      <c r="G10" s="1161"/>
      <c r="H10" s="151" t="s">
        <v>119</v>
      </c>
      <c r="I10" s="265" t="s">
        <v>21</v>
      </c>
      <c r="J10" s="1127" t="s">
        <v>3</v>
      </c>
      <c r="K10" s="1050"/>
      <c r="L10" s="110" t="s">
        <v>119</v>
      </c>
      <c r="M10" s="151" t="s">
        <v>21</v>
      </c>
      <c r="N10" s="1050" t="s">
        <v>3</v>
      </c>
      <c r="O10" s="1050"/>
      <c r="P10" s="110" t="s">
        <v>119</v>
      </c>
      <c r="Q10" s="265" t="s">
        <v>21</v>
      </c>
      <c r="R10" s="1403"/>
      <c r="S10" s="1249"/>
      <c r="T10" s="1249"/>
      <c r="U10" s="1249"/>
      <c r="V10" s="1408"/>
      <c r="W10" s="1125" t="s">
        <v>3</v>
      </c>
      <c r="X10" s="1127"/>
      <c r="Y10" s="144" t="s">
        <v>531</v>
      </c>
      <c r="Z10" s="151" t="s">
        <v>21</v>
      </c>
      <c r="AA10" s="365" t="s">
        <v>3</v>
      </c>
      <c r="AB10" s="105"/>
      <c r="AC10" s="110" t="s">
        <v>531</v>
      </c>
      <c r="AD10" s="265" t="s">
        <v>21</v>
      </c>
      <c r="AE10" s="1412"/>
      <c r="AF10" s="1249"/>
      <c r="AG10" s="1249"/>
      <c r="AH10" s="1249"/>
      <c r="AI10" s="1408"/>
      <c r="AJ10" s="1125" t="s">
        <v>3</v>
      </c>
      <c r="AK10" s="1127"/>
      <c r="AL10" s="110" t="s">
        <v>531</v>
      </c>
      <c r="AM10" s="151" t="s">
        <v>21</v>
      </c>
      <c r="AN10" s="1125" t="s">
        <v>3</v>
      </c>
      <c r="AO10" s="1127"/>
      <c r="AP10" s="305" t="s">
        <v>531</v>
      </c>
      <c r="AQ10" s="151" t="s">
        <v>21</v>
      </c>
      <c r="AR10" s="1125" t="s">
        <v>3</v>
      </c>
      <c r="AS10" s="1127"/>
      <c r="AT10" s="305" t="s">
        <v>531</v>
      </c>
      <c r="AU10" s="265" t="s">
        <v>21</v>
      </c>
    </row>
    <row r="11" spans="1:47" ht="14.25" customHeight="1" thickBot="1">
      <c r="A11" s="1404"/>
      <c r="B11" s="1398"/>
      <c r="C11" s="1399"/>
      <c r="D11" s="1399"/>
      <c r="E11" s="1400"/>
      <c r="F11" s="84" t="s">
        <v>389</v>
      </c>
      <c r="G11" s="38" t="s">
        <v>388</v>
      </c>
      <c r="H11" s="153" t="s">
        <v>387</v>
      </c>
      <c r="I11" s="261" t="s">
        <v>530</v>
      </c>
      <c r="J11" s="84" t="s">
        <v>386</v>
      </c>
      <c r="K11" s="38" t="s">
        <v>385</v>
      </c>
      <c r="L11" s="153" t="s">
        <v>384</v>
      </c>
      <c r="M11" s="38" t="s">
        <v>383</v>
      </c>
      <c r="N11" s="38" t="s">
        <v>382</v>
      </c>
      <c r="O11" s="38" t="s">
        <v>381</v>
      </c>
      <c r="P11" s="153" t="s">
        <v>380</v>
      </c>
      <c r="Q11" s="464" t="s">
        <v>379</v>
      </c>
      <c r="R11" s="1403"/>
      <c r="S11" s="1252"/>
      <c r="T11" s="1252"/>
      <c r="U11" s="1252"/>
      <c r="V11" s="1409"/>
      <c r="W11" s="153" t="s">
        <v>348</v>
      </c>
      <c r="X11" s="38" t="s">
        <v>347</v>
      </c>
      <c r="Y11" s="153" t="s">
        <v>346</v>
      </c>
      <c r="Z11" s="153" t="s">
        <v>345</v>
      </c>
      <c r="AA11" s="262" t="s">
        <v>344</v>
      </c>
      <c r="AB11" s="38" t="s">
        <v>343</v>
      </c>
      <c r="AC11" s="153" t="s">
        <v>342</v>
      </c>
      <c r="AD11" s="261" t="s">
        <v>341</v>
      </c>
      <c r="AE11" s="1412"/>
      <c r="AF11" s="1414"/>
      <c r="AG11" s="1414"/>
      <c r="AH11" s="1414"/>
      <c r="AI11" s="1415"/>
      <c r="AJ11" s="463" t="s">
        <v>340</v>
      </c>
      <c r="AK11" s="463" t="s">
        <v>339</v>
      </c>
      <c r="AL11" s="463" t="s">
        <v>338</v>
      </c>
      <c r="AM11" s="462" t="s">
        <v>337</v>
      </c>
      <c r="AN11" s="463" t="s">
        <v>529</v>
      </c>
      <c r="AO11" s="463" t="s">
        <v>528</v>
      </c>
      <c r="AP11" s="463" t="s">
        <v>527</v>
      </c>
      <c r="AQ11" s="462" t="s">
        <v>526</v>
      </c>
      <c r="AR11" s="462" t="s">
        <v>525</v>
      </c>
      <c r="AS11" s="463" t="s">
        <v>524</v>
      </c>
      <c r="AT11" s="462" t="s">
        <v>523</v>
      </c>
      <c r="AU11" s="461" t="s">
        <v>522</v>
      </c>
    </row>
    <row r="12" spans="1:47" ht="12.75" customHeight="1" thickBot="1">
      <c r="A12" s="433">
        <v>1</v>
      </c>
      <c r="B12" s="1386" t="s">
        <v>521</v>
      </c>
      <c r="C12" s="1387"/>
      <c r="D12" s="1387"/>
      <c r="E12" s="1387"/>
      <c r="F12" s="447">
        <f aca="true" t="shared" si="0" ref="F12:F27">J12+N12+W12+AA12+AJ12+AN12+AR12</f>
        <v>52195</v>
      </c>
      <c r="G12" s="446">
        <f aca="true" t="shared" si="1" ref="G12:G27">K12+O12+X12+AB12+AK12+AO12+AS12</f>
        <v>54196</v>
      </c>
      <c r="H12" s="460">
        <f aca="true" t="shared" si="2" ref="H12:H27">L12+P12+Y12+AC12+AL12+AP12+AT12</f>
        <v>50628</v>
      </c>
      <c r="I12" s="354">
        <f aca="true" t="shared" si="3" ref="I12:I18">H12/G12*100</f>
        <v>93.41648830171968</v>
      </c>
      <c r="J12" s="367">
        <v>35304</v>
      </c>
      <c r="K12" s="359">
        <v>35501</v>
      </c>
      <c r="L12" s="356">
        <v>34462</v>
      </c>
      <c r="M12" s="452">
        <f>L12/K12*100</f>
        <v>97.07332187825695</v>
      </c>
      <c r="N12" s="359">
        <v>11037</v>
      </c>
      <c r="O12" s="359">
        <v>11057</v>
      </c>
      <c r="P12" s="356">
        <v>10238</v>
      </c>
      <c r="Q12" s="354">
        <f>P12/O12*100</f>
        <v>92.59292755720358</v>
      </c>
      <c r="R12" s="383">
        <v>25</v>
      </c>
      <c r="S12" s="1419" t="s">
        <v>521</v>
      </c>
      <c r="T12" s="1419"/>
      <c r="U12" s="1419"/>
      <c r="V12" s="1420"/>
      <c r="W12" s="458">
        <v>4984</v>
      </c>
      <c r="X12" s="40">
        <v>5104</v>
      </c>
      <c r="Y12" s="458">
        <v>5472</v>
      </c>
      <c r="Z12" s="456">
        <f aca="true" t="shared" si="4" ref="Z12:Z18">Y12/X12*100</f>
        <v>107.21003134796238</v>
      </c>
      <c r="AA12" s="458">
        <v>0</v>
      </c>
      <c r="AB12" s="40">
        <v>0</v>
      </c>
      <c r="AC12" s="458">
        <v>0</v>
      </c>
      <c r="AD12" s="459">
        <v>0</v>
      </c>
      <c r="AE12" s="383">
        <v>49</v>
      </c>
      <c r="AF12" s="1419" t="s">
        <v>521</v>
      </c>
      <c r="AG12" s="1419"/>
      <c r="AH12" s="1419"/>
      <c r="AI12" s="1420"/>
      <c r="AJ12" s="40">
        <v>500</v>
      </c>
      <c r="AK12" s="40">
        <v>500</v>
      </c>
      <c r="AL12" s="40">
        <v>156</v>
      </c>
      <c r="AM12" s="456">
        <f>AL12/AK12*100</f>
        <v>31.2</v>
      </c>
      <c r="AN12" s="40">
        <v>370</v>
      </c>
      <c r="AO12" s="40">
        <v>2034</v>
      </c>
      <c r="AP12" s="40">
        <v>300</v>
      </c>
      <c r="AQ12" s="456">
        <f>AP12/AO12*100</f>
        <v>14.749262536873156</v>
      </c>
      <c r="AR12" s="458">
        <v>0</v>
      </c>
      <c r="AS12" s="40">
        <v>0</v>
      </c>
      <c r="AT12" s="458">
        <v>0</v>
      </c>
      <c r="AU12" s="445">
        <v>0</v>
      </c>
    </row>
    <row r="13" spans="1:47" ht="12.75" customHeight="1" thickBot="1">
      <c r="A13" s="403">
        <v>2</v>
      </c>
      <c r="B13" s="1155" t="s">
        <v>520</v>
      </c>
      <c r="C13" s="1042"/>
      <c r="D13" s="1042"/>
      <c r="E13" s="1042"/>
      <c r="F13" s="451">
        <f t="shared" si="0"/>
        <v>2699</v>
      </c>
      <c r="G13" s="450">
        <f t="shared" si="1"/>
        <v>2699</v>
      </c>
      <c r="H13" s="450">
        <f t="shared" si="2"/>
        <v>2450</v>
      </c>
      <c r="I13" s="118">
        <f t="shared" si="3"/>
        <v>90.77436087439793</v>
      </c>
      <c r="J13" s="105">
        <v>1664</v>
      </c>
      <c r="K13" s="144">
        <v>1664</v>
      </c>
      <c r="L13" s="144">
        <v>1415</v>
      </c>
      <c r="M13" s="455">
        <f>L13/K13*100</f>
        <v>85.0360576923077</v>
      </c>
      <c r="N13" s="144">
        <v>555</v>
      </c>
      <c r="O13" s="144">
        <v>555</v>
      </c>
      <c r="P13" s="144">
        <v>405</v>
      </c>
      <c r="Q13" s="118">
        <f>P13/O13*100</f>
        <v>72.97297297297297</v>
      </c>
      <c r="R13" s="383">
        <v>26</v>
      </c>
      <c r="S13" s="1042" t="s">
        <v>520</v>
      </c>
      <c r="T13" s="1042"/>
      <c r="U13" s="1042"/>
      <c r="V13" s="1043"/>
      <c r="W13" s="119">
        <v>480</v>
      </c>
      <c r="X13" s="119">
        <v>480</v>
      </c>
      <c r="Y13" s="119">
        <v>630</v>
      </c>
      <c r="Z13" s="454">
        <f t="shared" si="4"/>
        <v>131.25</v>
      </c>
      <c r="AA13" s="119">
        <v>0</v>
      </c>
      <c r="AB13" s="119">
        <v>0</v>
      </c>
      <c r="AC13" s="119">
        <v>0</v>
      </c>
      <c r="AD13" s="172">
        <v>0</v>
      </c>
      <c r="AE13" s="383">
        <v>50</v>
      </c>
      <c r="AF13" s="1042" t="s">
        <v>520</v>
      </c>
      <c r="AG13" s="1042"/>
      <c r="AH13" s="1042"/>
      <c r="AI13" s="1043"/>
      <c r="AJ13" s="119">
        <v>0</v>
      </c>
      <c r="AK13" s="119">
        <v>0</v>
      </c>
      <c r="AL13" s="119">
        <v>0</v>
      </c>
      <c r="AM13" s="443">
        <v>0</v>
      </c>
      <c r="AN13" s="119">
        <v>0</v>
      </c>
      <c r="AO13" s="119">
        <v>0</v>
      </c>
      <c r="AP13" s="119">
        <v>0</v>
      </c>
      <c r="AQ13" s="454">
        <v>0</v>
      </c>
      <c r="AR13" s="119">
        <v>0</v>
      </c>
      <c r="AS13" s="119">
        <v>0</v>
      </c>
      <c r="AT13" s="119">
        <v>0</v>
      </c>
      <c r="AU13" s="120">
        <v>0</v>
      </c>
    </row>
    <row r="14" spans="1:47" ht="12.75" customHeight="1" thickBot="1">
      <c r="A14" s="403">
        <v>3</v>
      </c>
      <c r="B14" s="1303" t="s">
        <v>493</v>
      </c>
      <c r="C14" s="1048"/>
      <c r="D14" s="1048"/>
      <c r="E14" s="1048"/>
      <c r="F14" s="441">
        <f t="shared" si="0"/>
        <v>7437</v>
      </c>
      <c r="G14" s="440">
        <f t="shared" si="1"/>
        <v>7437</v>
      </c>
      <c r="H14" s="440">
        <f t="shared" si="2"/>
        <v>8851</v>
      </c>
      <c r="I14" s="352">
        <f t="shared" si="3"/>
        <v>119.01304289363989</v>
      </c>
      <c r="J14" s="284">
        <v>0</v>
      </c>
      <c r="K14" s="282">
        <v>0</v>
      </c>
      <c r="L14" s="282">
        <v>0</v>
      </c>
      <c r="M14" s="435">
        <v>0</v>
      </c>
      <c r="N14" s="282">
        <v>0</v>
      </c>
      <c r="O14" s="282">
        <v>0</v>
      </c>
      <c r="P14" s="282">
        <v>0</v>
      </c>
      <c r="Q14" s="115">
        <v>0</v>
      </c>
      <c r="R14" s="383">
        <v>27</v>
      </c>
      <c r="S14" s="1277" t="s">
        <v>493</v>
      </c>
      <c r="T14" s="1277"/>
      <c r="U14" s="1277"/>
      <c r="V14" s="1421"/>
      <c r="W14" s="434">
        <v>7437</v>
      </c>
      <c r="X14" s="434">
        <v>7437</v>
      </c>
      <c r="Y14" s="434">
        <v>8851</v>
      </c>
      <c r="Z14" s="435">
        <f t="shared" si="4"/>
        <v>119.01304289363989</v>
      </c>
      <c r="AA14" s="434">
        <v>0</v>
      </c>
      <c r="AB14" s="434">
        <v>0</v>
      </c>
      <c r="AC14" s="434">
        <v>0</v>
      </c>
      <c r="AD14" s="439">
        <v>0</v>
      </c>
      <c r="AE14" s="383">
        <v>51</v>
      </c>
      <c r="AF14" s="1277" t="s">
        <v>493</v>
      </c>
      <c r="AG14" s="1277"/>
      <c r="AH14" s="1277"/>
      <c r="AI14" s="1421"/>
      <c r="AJ14" s="434">
        <v>0</v>
      </c>
      <c r="AK14" s="434">
        <v>0</v>
      </c>
      <c r="AL14" s="434">
        <v>0</v>
      </c>
      <c r="AM14" s="444">
        <v>0</v>
      </c>
      <c r="AN14" s="434">
        <v>0</v>
      </c>
      <c r="AO14" s="434">
        <v>0</v>
      </c>
      <c r="AP14" s="434">
        <v>0</v>
      </c>
      <c r="AQ14" s="435">
        <v>0</v>
      </c>
      <c r="AR14" s="434">
        <v>0</v>
      </c>
      <c r="AS14" s="434">
        <v>0</v>
      </c>
      <c r="AT14" s="434">
        <v>0</v>
      </c>
      <c r="AU14" s="115">
        <v>0</v>
      </c>
    </row>
    <row r="15" spans="1:47" ht="12.75" customHeight="1" thickBot="1">
      <c r="A15" s="433">
        <v>4</v>
      </c>
      <c r="B15" s="1391" t="s">
        <v>519</v>
      </c>
      <c r="C15" s="1389"/>
      <c r="D15" s="1389"/>
      <c r="E15" s="1389"/>
      <c r="F15" s="432">
        <f t="shared" si="0"/>
        <v>62331</v>
      </c>
      <c r="G15" s="431">
        <f t="shared" si="1"/>
        <v>64332</v>
      </c>
      <c r="H15" s="453">
        <f t="shared" si="2"/>
        <v>61929</v>
      </c>
      <c r="I15" s="347">
        <f t="shared" si="3"/>
        <v>96.264689423615</v>
      </c>
      <c r="J15" s="346">
        <f>SUM(J12:J14)</f>
        <v>36968</v>
      </c>
      <c r="K15" s="345">
        <f>SUM(K12:K14)</f>
        <v>37165</v>
      </c>
      <c r="L15" s="345">
        <f>SUM(L12:L14)</f>
        <v>35877</v>
      </c>
      <c r="M15" s="428">
        <f>L15/K15*100</f>
        <v>96.53437373873268</v>
      </c>
      <c r="N15" s="345">
        <f>SUM(N12:N14)</f>
        <v>11592</v>
      </c>
      <c r="O15" s="345">
        <f>SUM(O12:O14)</f>
        <v>11612</v>
      </c>
      <c r="P15" s="345">
        <f>SUM(P12:P14)</f>
        <v>10643</v>
      </c>
      <c r="Q15" s="351">
        <f>P15/O15*100</f>
        <v>91.65518429211161</v>
      </c>
      <c r="R15" s="383">
        <v>28</v>
      </c>
      <c r="S15" s="1389" t="s">
        <v>519</v>
      </c>
      <c r="T15" s="1389"/>
      <c r="U15" s="1389"/>
      <c r="V15" s="1335"/>
      <c r="W15" s="427">
        <f>SUM(W12:W14)</f>
        <v>12901</v>
      </c>
      <c r="X15" s="427">
        <f>SUM(X12:X14)</f>
        <v>13021</v>
      </c>
      <c r="Y15" s="427">
        <f>SUM(Y12:Y14)</f>
        <v>14953</v>
      </c>
      <c r="Z15" s="428">
        <f t="shared" si="4"/>
        <v>114.83757007910297</v>
      </c>
      <c r="AA15" s="427">
        <v>0</v>
      </c>
      <c r="AB15" s="427">
        <v>0</v>
      </c>
      <c r="AC15" s="427">
        <v>0</v>
      </c>
      <c r="AD15" s="430">
        <v>0</v>
      </c>
      <c r="AE15" s="383">
        <v>52</v>
      </c>
      <c r="AF15" s="1389" t="s">
        <v>519</v>
      </c>
      <c r="AG15" s="1389"/>
      <c r="AH15" s="1389"/>
      <c r="AI15" s="1335"/>
      <c r="AJ15" s="427">
        <f>SUM(AJ12:AJ14)</f>
        <v>500</v>
      </c>
      <c r="AK15" s="427">
        <f>SUM(AK12:AK14)</f>
        <v>500</v>
      </c>
      <c r="AL15" s="427">
        <f>SUM(AL12:AL14)</f>
        <v>156</v>
      </c>
      <c r="AM15" s="457">
        <f>AL15/AK15*100</f>
        <v>31.2</v>
      </c>
      <c r="AN15" s="427">
        <f>SUM(AN12:AN14)</f>
        <v>370</v>
      </c>
      <c r="AO15" s="427">
        <f>SUM(AO12:AO14)</f>
        <v>2034</v>
      </c>
      <c r="AP15" s="427">
        <f>SUM(AP12:AP14)</f>
        <v>300</v>
      </c>
      <c r="AQ15" s="428">
        <f>AP15/AO15*100</f>
        <v>14.749262536873156</v>
      </c>
      <c r="AR15" s="427">
        <v>0</v>
      </c>
      <c r="AS15" s="427">
        <v>0</v>
      </c>
      <c r="AT15" s="427">
        <v>0</v>
      </c>
      <c r="AU15" s="351">
        <v>0</v>
      </c>
    </row>
    <row r="16" spans="1:48" ht="13.5" thickBot="1">
      <c r="A16" s="403">
        <v>5</v>
      </c>
      <c r="B16" s="1386" t="s">
        <v>491</v>
      </c>
      <c r="C16" s="1387"/>
      <c r="D16" s="1387"/>
      <c r="E16" s="1387"/>
      <c r="F16" s="447">
        <f t="shared" si="0"/>
        <v>98419</v>
      </c>
      <c r="G16" s="446">
        <f t="shared" si="1"/>
        <v>104022</v>
      </c>
      <c r="H16" s="446">
        <f t="shared" si="2"/>
        <v>104454</v>
      </c>
      <c r="I16" s="369">
        <f t="shared" si="3"/>
        <v>100.41529676414605</v>
      </c>
      <c r="J16" s="367">
        <v>61076</v>
      </c>
      <c r="K16" s="359">
        <v>63165</v>
      </c>
      <c r="L16" s="359">
        <v>64380</v>
      </c>
      <c r="M16" s="452">
        <f>L16/K16*100</f>
        <v>101.92353360246973</v>
      </c>
      <c r="N16" s="359">
        <v>19043</v>
      </c>
      <c r="O16" s="359">
        <v>19570</v>
      </c>
      <c r="P16" s="359">
        <v>19003</v>
      </c>
      <c r="Q16" s="369">
        <f>P16/O16*100</f>
        <v>97.10270822687788</v>
      </c>
      <c r="R16" s="383">
        <v>29</v>
      </c>
      <c r="S16" s="1419" t="s">
        <v>491</v>
      </c>
      <c r="T16" s="1419"/>
      <c r="U16" s="1419"/>
      <c r="V16" s="1420"/>
      <c r="W16" s="40">
        <v>15535</v>
      </c>
      <c r="X16" s="40">
        <v>16749</v>
      </c>
      <c r="Y16" s="40">
        <v>17542</v>
      </c>
      <c r="Z16" s="443">
        <f t="shared" si="4"/>
        <v>104.73461102155352</v>
      </c>
      <c r="AA16" s="40">
        <v>0</v>
      </c>
      <c r="AB16" s="40">
        <v>0</v>
      </c>
      <c r="AC16" s="40">
        <v>0</v>
      </c>
      <c r="AD16" s="41">
        <v>0</v>
      </c>
      <c r="AE16" s="383">
        <v>53</v>
      </c>
      <c r="AF16" s="1419" t="s">
        <v>491</v>
      </c>
      <c r="AG16" s="1419"/>
      <c r="AH16" s="1419"/>
      <c r="AI16" s="1420"/>
      <c r="AJ16" s="40">
        <v>2390</v>
      </c>
      <c r="AK16" s="40">
        <v>2390</v>
      </c>
      <c r="AL16" s="40">
        <v>2362</v>
      </c>
      <c r="AM16" s="456">
        <f>AL16/AK16*100</f>
        <v>98.82845188284519</v>
      </c>
      <c r="AN16" s="40">
        <v>375</v>
      </c>
      <c r="AO16" s="40">
        <v>2148</v>
      </c>
      <c r="AP16" s="40">
        <v>1167</v>
      </c>
      <c r="AQ16" s="443">
        <f>AP16/AO16*100</f>
        <v>54.329608938547494</v>
      </c>
      <c r="AR16" s="40">
        <v>0</v>
      </c>
      <c r="AS16" s="40">
        <v>0</v>
      </c>
      <c r="AT16" s="40">
        <v>0</v>
      </c>
      <c r="AU16" s="445">
        <v>0</v>
      </c>
      <c r="AV16" s="256"/>
    </row>
    <row r="17" spans="1:47" ht="13.5" thickBot="1">
      <c r="A17" s="403">
        <v>6</v>
      </c>
      <c r="B17" s="1155" t="s">
        <v>490</v>
      </c>
      <c r="C17" s="1042"/>
      <c r="D17" s="1042"/>
      <c r="E17" s="1042"/>
      <c r="F17" s="451">
        <f t="shared" si="0"/>
        <v>4970</v>
      </c>
      <c r="G17" s="450">
        <f t="shared" si="1"/>
        <v>4970</v>
      </c>
      <c r="H17" s="450">
        <f t="shared" si="2"/>
        <v>3179</v>
      </c>
      <c r="I17" s="118">
        <f t="shared" si="3"/>
        <v>63.96378269617706</v>
      </c>
      <c r="J17" s="105">
        <v>3553</v>
      </c>
      <c r="K17" s="144">
        <v>3553</v>
      </c>
      <c r="L17" s="144">
        <v>2402</v>
      </c>
      <c r="M17" s="455">
        <f>L17/K17*100</f>
        <v>67.60484097945398</v>
      </c>
      <c r="N17" s="144">
        <v>1107</v>
      </c>
      <c r="O17" s="144">
        <v>1107</v>
      </c>
      <c r="P17" s="144">
        <v>709</v>
      </c>
      <c r="Q17" s="118">
        <f>P17/O17*100</f>
        <v>64.04697380307137</v>
      </c>
      <c r="R17" s="383">
        <v>30</v>
      </c>
      <c r="S17" s="1042" t="s">
        <v>490</v>
      </c>
      <c r="T17" s="1042"/>
      <c r="U17" s="1042"/>
      <c r="V17" s="1043"/>
      <c r="W17" s="119">
        <v>310</v>
      </c>
      <c r="X17" s="119">
        <v>310</v>
      </c>
      <c r="Y17" s="119">
        <v>68</v>
      </c>
      <c r="Z17" s="454">
        <f t="shared" si="4"/>
        <v>21.935483870967744</v>
      </c>
      <c r="AA17" s="119">
        <v>0</v>
      </c>
      <c r="AB17" s="119">
        <v>0</v>
      </c>
      <c r="AC17" s="119">
        <v>0</v>
      </c>
      <c r="AD17" s="172">
        <v>0</v>
      </c>
      <c r="AE17" s="383">
        <v>54</v>
      </c>
      <c r="AF17" s="1042" t="s">
        <v>490</v>
      </c>
      <c r="AG17" s="1042"/>
      <c r="AH17" s="1042"/>
      <c r="AI17" s="1043"/>
      <c r="AJ17" s="119">
        <v>0</v>
      </c>
      <c r="AK17" s="119">
        <v>0</v>
      </c>
      <c r="AL17" s="119">
        <v>0</v>
      </c>
      <c r="AM17" s="454">
        <v>0</v>
      </c>
      <c r="AN17" s="119">
        <v>0</v>
      </c>
      <c r="AO17" s="119">
        <v>0</v>
      </c>
      <c r="AP17" s="119">
        <v>0</v>
      </c>
      <c r="AQ17" s="454">
        <v>0</v>
      </c>
      <c r="AR17" s="119">
        <v>0</v>
      </c>
      <c r="AS17" s="119">
        <v>0</v>
      </c>
      <c r="AT17" s="119">
        <v>0</v>
      </c>
      <c r="AU17" s="120">
        <v>0</v>
      </c>
    </row>
    <row r="18" spans="1:47" ht="13.5" thickBot="1">
      <c r="A18" s="433">
        <v>7</v>
      </c>
      <c r="B18" s="1155" t="s">
        <v>518</v>
      </c>
      <c r="C18" s="1042"/>
      <c r="D18" s="1042"/>
      <c r="E18" s="1042"/>
      <c r="F18" s="451">
        <f t="shared" si="0"/>
        <v>12358</v>
      </c>
      <c r="G18" s="450">
        <f t="shared" si="1"/>
        <v>12879</v>
      </c>
      <c r="H18" s="450">
        <f t="shared" si="2"/>
        <v>9468</v>
      </c>
      <c r="I18" s="118">
        <f t="shared" si="3"/>
        <v>73.51502445842068</v>
      </c>
      <c r="J18" s="105">
        <v>8455</v>
      </c>
      <c r="K18" s="144">
        <v>8455</v>
      </c>
      <c r="L18" s="144">
        <v>6554</v>
      </c>
      <c r="M18" s="455">
        <f>L18/K18*100</f>
        <v>77.51626256652868</v>
      </c>
      <c r="N18" s="144">
        <v>2658</v>
      </c>
      <c r="O18" s="144">
        <v>2658</v>
      </c>
      <c r="P18" s="144">
        <v>1702</v>
      </c>
      <c r="Q18" s="118">
        <f>P18/O18*100</f>
        <v>64.03310759969902</v>
      </c>
      <c r="R18" s="383">
        <v>31</v>
      </c>
      <c r="S18" s="1042" t="s">
        <v>518</v>
      </c>
      <c r="T18" s="1042"/>
      <c r="U18" s="1042"/>
      <c r="V18" s="1043"/>
      <c r="W18" s="119">
        <v>995</v>
      </c>
      <c r="X18" s="119">
        <v>995</v>
      </c>
      <c r="Y18" s="119">
        <v>636</v>
      </c>
      <c r="Z18" s="454">
        <f t="shared" si="4"/>
        <v>63.91959798994975</v>
      </c>
      <c r="AA18" s="119">
        <v>0</v>
      </c>
      <c r="AB18" s="119">
        <v>0</v>
      </c>
      <c r="AC18" s="119">
        <v>0</v>
      </c>
      <c r="AD18" s="172">
        <v>0</v>
      </c>
      <c r="AE18" s="383">
        <v>55</v>
      </c>
      <c r="AF18" s="1042" t="s">
        <v>518</v>
      </c>
      <c r="AG18" s="1042"/>
      <c r="AH18" s="1042"/>
      <c r="AI18" s="1043"/>
      <c r="AJ18" s="119">
        <v>0</v>
      </c>
      <c r="AK18" s="119">
        <v>0</v>
      </c>
      <c r="AL18" s="119">
        <v>0</v>
      </c>
      <c r="AM18" s="454">
        <v>0</v>
      </c>
      <c r="AN18" s="119">
        <v>250</v>
      </c>
      <c r="AO18" s="119">
        <v>771</v>
      </c>
      <c r="AP18" s="119">
        <v>576</v>
      </c>
      <c r="AQ18" s="454">
        <f>AP18/AO18*100</f>
        <v>74.70817120622569</v>
      </c>
      <c r="AR18" s="119">
        <v>0</v>
      </c>
      <c r="AS18" s="119">
        <v>0</v>
      </c>
      <c r="AT18" s="119">
        <v>0</v>
      </c>
      <c r="AU18" s="120">
        <v>0</v>
      </c>
    </row>
    <row r="19" spans="1:47" ht="13.5" thickBot="1">
      <c r="A19" s="403">
        <v>8</v>
      </c>
      <c r="B19" s="1155" t="s">
        <v>488</v>
      </c>
      <c r="C19" s="1042"/>
      <c r="D19" s="1042"/>
      <c r="E19" s="1042"/>
      <c r="F19" s="451">
        <f t="shared" si="0"/>
        <v>0</v>
      </c>
      <c r="G19" s="450">
        <f t="shared" si="1"/>
        <v>0</v>
      </c>
      <c r="H19" s="450">
        <f t="shared" si="2"/>
        <v>0</v>
      </c>
      <c r="I19" s="118"/>
      <c r="J19" s="105">
        <v>0</v>
      </c>
      <c r="K19" s="144">
        <v>0</v>
      </c>
      <c r="L19" s="144">
        <v>0</v>
      </c>
      <c r="M19" s="455">
        <v>0</v>
      </c>
      <c r="N19" s="144">
        <v>0</v>
      </c>
      <c r="O19" s="144">
        <v>0</v>
      </c>
      <c r="P19" s="144">
        <v>0</v>
      </c>
      <c r="Q19" s="118">
        <v>0</v>
      </c>
      <c r="R19" s="383">
        <v>32</v>
      </c>
      <c r="S19" s="1042" t="s">
        <v>488</v>
      </c>
      <c r="T19" s="1042"/>
      <c r="U19" s="1042"/>
      <c r="V19" s="1043"/>
      <c r="W19" s="119">
        <v>0</v>
      </c>
      <c r="X19" s="119">
        <v>0</v>
      </c>
      <c r="Y19" s="119">
        <v>0</v>
      </c>
      <c r="Z19" s="454">
        <v>0</v>
      </c>
      <c r="AA19" s="119">
        <v>0</v>
      </c>
      <c r="AB19" s="119">
        <v>0</v>
      </c>
      <c r="AC19" s="119">
        <v>0</v>
      </c>
      <c r="AD19" s="172">
        <v>0</v>
      </c>
      <c r="AE19" s="383">
        <v>56</v>
      </c>
      <c r="AF19" s="1042" t="s">
        <v>488</v>
      </c>
      <c r="AG19" s="1042"/>
      <c r="AH19" s="1042"/>
      <c r="AI19" s="1043"/>
      <c r="AJ19" s="119">
        <v>0</v>
      </c>
      <c r="AK19" s="119">
        <v>0</v>
      </c>
      <c r="AL19" s="119">
        <v>0</v>
      </c>
      <c r="AM19" s="454">
        <v>0</v>
      </c>
      <c r="AN19" s="119">
        <v>0</v>
      </c>
      <c r="AO19" s="119">
        <v>0</v>
      </c>
      <c r="AP19" s="119">
        <v>0</v>
      </c>
      <c r="AQ19" s="454">
        <v>0</v>
      </c>
      <c r="AR19" s="119">
        <v>0</v>
      </c>
      <c r="AS19" s="119">
        <v>0</v>
      </c>
      <c r="AT19" s="119">
        <v>0</v>
      </c>
      <c r="AU19" s="120">
        <v>0</v>
      </c>
    </row>
    <row r="20" spans="1:47" ht="13.5" thickBot="1">
      <c r="A20" s="418">
        <v>9</v>
      </c>
      <c r="B20" s="1155" t="s">
        <v>487</v>
      </c>
      <c r="C20" s="1042"/>
      <c r="D20" s="1042"/>
      <c r="E20" s="1042"/>
      <c r="F20" s="451">
        <f t="shared" si="0"/>
        <v>9765</v>
      </c>
      <c r="G20" s="450">
        <f t="shared" si="1"/>
        <v>10364</v>
      </c>
      <c r="H20" s="450">
        <f t="shared" si="2"/>
        <v>12177</v>
      </c>
      <c r="I20" s="118">
        <f aca="true" t="shared" si="5" ref="I20:I27">H20/G20*100</f>
        <v>117.49324585102276</v>
      </c>
      <c r="J20" s="105">
        <v>0</v>
      </c>
      <c r="K20" s="144">
        <v>0</v>
      </c>
      <c r="L20" s="144">
        <v>0</v>
      </c>
      <c r="M20" s="455">
        <v>0</v>
      </c>
      <c r="N20" s="144">
        <v>0</v>
      </c>
      <c r="O20" s="144">
        <v>0</v>
      </c>
      <c r="P20" s="144">
        <v>0</v>
      </c>
      <c r="Q20" s="118">
        <v>0</v>
      </c>
      <c r="R20" s="383">
        <v>33</v>
      </c>
      <c r="S20" s="1042" t="s">
        <v>517</v>
      </c>
      <c r="T20" s="1042"/>
      <c r="U20" s="1042"/>
      <c r="V20" s="1043"/>
      <c r="W20" s="119">
        <v>9765</v>
      </c>
      <c r="X20" s="119">
        <v>10364</v>
      </c>
      <c r="Y20" s="119">
        <v>12177</v>
      </c>
      <c r="Z20" s="454">
        <f aca="true" t="shared" si="6" ref="Z20:Z27">Y20/X20*100</f>
        <v>117.49324585102276</v>
      </c>
      <c r="AA20" s="119">
        <v>0</v>
      </c>
      <c r="AB20" s="119">
        <v>0</v>
      </c>
      <c r="AC20" s="119">
        <v>0</v>
      </c>
      <c r="AD20" s="172">
        <v>0</v>
      </c>
      <c r="AE20" s="383">
        <v>57</v>
      </c>
      <c r="AF20" s="1042" t="s">
        <v>487</v>
      </c>
      <c r="AG20" s="1042"/>
      <c r="AH20" s="1042"/>
      <c r="AI20" s="1043"/>
      <c r="AJ20" s="119">
        <v>0</v>
      </c>
      <c r="AK20" s="119">
        <v>0</v>
      </c>
      <c r="AL20" s="119">
        <v>0</v>
      </c>
      <c r="AM20" s="454">
        <v>0</v>
      </c>
      <c r="AN20" s="119">
        <v>0</v>
      </c>
      <c r="AO20" s="119">
        <v>0</v>
      </c>
      <c r="AP20" s="119">
        <v>0</v>
      </c>
      <c r="AQ20" s="454">
        <v>0</v>
      </c>
      <c r="AR20" s="119">
        <v>0</v>
      </c>
      <c r="AS20" s="119">
        <v>0</v>
      </c>
      <c r="AT20" s="119">
        <v>0</v>
      </c>
      <c r="AU20" s="120">
        <v>0</v>
      </c>
    </row>
    <row r="21" spans="1:47" ht="13.5" thickBot="1">
      <c r="A21" s="403">
        <v>10</v>
      </c>
      <c r="B21" s="1155" t="s">
        <v>486</v>
      </c>
      <c r="C21" s="1042"/>
      <c r="D21" s="1042"/>
      <c r="E21" s="1042"/>
      <c r="F21" s="451">
        <f t="shared" si="0"/>
        <v>530</v>
      </c>
      <c r="G21" s="450">
        <f t="shared" si="1"/>
        <v>530</v>
      </c>
      <c r="H21" s="450">
        <f t="shared" si="2"/>
        <v>445</v>
      </c>
      <c r="I21" s="118">
        <f t="shared" si="5"/>
        <v>83.9622641509434</v>
      </c>
      <c r="J21" s="105">
        <v>0</v>
      </c>
      <c r="K21" s="144">
        <v>0</v>
      </c>
      <c r="L21" s="144">
        <v>0</v>
      </c>
      <c r="M21" s="455">
        <v>0</v>
      </c>
      <c r="N21" s="144">
        <v>0</v>
      </c>
      <c r="O21" s="144">
        <v>0</v>
      </c>
      <c r="P21" s="144">
        <v>0</v>
      </c>
      <c r="Q21" s="118">
        <v>0</v>
      </c>
      <c r="R21" s="383">
        <v>34</v>
      </c>
      <c r="S21" s="1042" t="s">
        <v>486</v>
      </c>
      <c r="T21" s="1042"/>
      <c r="U21" s="1042"/>
      <c r="V21" s="1043"/>
      <c r="W21" s="119">
        <v>530</v>
      </c>
      <c r="X21" s="119">
        <v>530</v>
      </c>
      <c r="Y21" s="119">
        <v>445</v>
      </c>
      <c r="Z21" s="454">
        <f t="shared" si="6"/>
        <v>83.9622641509434</v>
      </c>
      <c r="AA21" s="119">
        <v>0</v>
      </c>
      <c r="AB21" s="119">
        <v>0</v>
      </c>
      <c r="AC21" s="119">
        <v>0</v>
      </c>
      <c r="AD21" s="172">
        <v>0</v>
      </c>
      <c r="AE21" s="383">
        <v>58</v>
      </c>
      <c r="AF21" s="1042" t="s">
        <v>486</v>
      </c>
      <c r="AG21" s="1042"/>
      <c r="AH21" s="1042"/>
      <c r="AI21" s="1043"/>
      <c r="AJ21" s="119">
        <v>0</v>
      </c>
      <c r="AK21" s="119">
        <v>0</v>
      </c>
      <c r="AL21" s="119">
        <v>0</v>
      </c>
      <c r="AM21" s="454">
        <v>0</v>
      </c>
      <c r="AN21" s="119">
        <v>0</v>
      </c>
      <c r="AO21" s="119">
        <v>0</v>
      </c>
      <c r="AP21" s="119">
        <v>0</v>
      </c>
      <c r="AQ21" s="454">
        <v>0</v>
      </c>
      <c r="AR21" s="119">
        <v>0</v>
      </c>
      <c r="AS21" s="119">
        <v>0</v>
      </c>
      <c r="AT21" s="119">
        <v>0</v>
      </c>
      <c r="AU21" s="120">
        <v>0</v>
      </c>
    </row>
    <row r="22" spans="1:47" ht="13.5" thickBot="1">
      <c r="A22" s="403">
        <v>11</v>
      </c>
      <c r="B22" s="1303" t="s">
        <v>485</v>
      </c>
      <c r="C22" s="1048"/>
      <c r="D22" s="1048"/>
      <c r="E22" s="1372"/>
      <c r="F22" s="441">
        <f t="shared" si="0"/>
        <v>982</v>
      </c>
      <c r="G22" s="440">
        <f t="shared" si="1"/>
        <v>982</v>
      </c>
      <c r="H22" s="440">
        <f t="shared" si="2"/>
        <v>120</v>
      </c>
      <c r="I22" s="352">
        <f t="shared" si="5"/>
        <v>12.219959266802444</v>
      </c>
      <c r="J22" s="284">
        <v>562</v>
      </c>
      <c r="K22" s="282">
        <v>562</v>
      </c>
      <c r="L22" s="282">
        <v>0</v>
      </c>
      <c r="M22" s="449">
        <f>L22/K22*100</f>
        <v>0</v>
      </c>
      <c r="N22" s="282">
        <v>180</v>
      </c>
      <c r="O22" s="282">
        <v>180</v>
      </c>
      <c r="P22" s="282">
        <v>0</v>
      </c>
      <c r="Q22" s="352">
        <f>P22/O22*100</f>
        <v>0</v>
      </c>
      <c r="R22" s="383">
        <v>35</v>
      </c>
      <c r="S22" s="1277" t="s">
        <v>485</v>
      </c>
      <c r="T22" s="1277"/>
      <c r="U22" s="1277"/>
      <c r="V22" s="1421"/>
      <c r="W22" s="434">
        <v>240</v>
      </c>
      <c r="X22" s="434">
        <v>240</v>
      </c>
      <c r="Y22" s="434">
        <v>120</v>
      </c>
      <c r="Z22" s="435">
        <f t="shared" si="6"/>
        <v>50</v>
      </c>
      <c r="AA22" s="434">
        <v>0</v>
      </c>
      <c r="AB22" s="434">
        <v>0</v>
      </c>
      <c r="AC22" s="434">
        <v>0</v>
      </c>
      <c r="AD22" s="439">
        <v>0</v>
      </c>
      <c r="AE22" s="383">
        <v>59</v>
      </c>
      <c r="AF22" s="108" t="s">
        <v>485</v>
      </c>
      <c r="AG22" s="108"/>
      <c r="AH22" s="108"/>
      <c r="AI22" s="109"/>
      <c r="AJ22" s="434">
        <v>0</v>
      </c>
      <c r="AK22" s="434">
        <v>0</v>
      </c>
      <c r="AL22" s="434">
        <v>0</v>
      </c>
      <c r="AM22" s="435">
        <v>0</v>
      </c>
      <c r="AN22" s="434">
        <v>0</v>
      </c>
      <c r="AO22" s="434">
        <v>0</v>
      </c>
      <c r="AP22" s="434">
        <v>0</v>
      </c>
      <c r="AQ22" s="435">
        <v>0</v>
      </c>
      <c r="AR22" s="434">
        <v>0</v>
      </c>
      <c r="AS22" s="434">
        <v>0</v>
      </c>
      <c r="AT22" s="434">
        <v>0</v>
      </c>
      <c r="AU22" s="115">
        <v>0</v>
      </c>
    </row>
    <row r="23" spans="1:47" ht="13.5" thickBot="1">
      <c r="A23" s="418">
        <v>12</v>
      </c>
      <c r="B23" s="1391" t="s">
        <v>516</v>
      </c>
      <c r="C23" s="1389"/>
      <c r="D23" s="1389"/>
      <c r="E23" s="1389"/>
      <c r="F23" s="432">
        <f t="shared" si="0"/>
        <v>127024</v>
      </c>
      <c r="G23" s="431">
        <f t="shared" si="1"/>
        <v>133747</v>
      </c>
      <c r="H23" s="453">
        <f t="shared" si="2"/>
        <v>129843</v>
      </c>
      <c r="I23" s="347">
        <f t="shared" si="5"/>
        <v>97.0810560236865</v>
      </c>
      <c r="J23" s="346">
        <f>SUM(J16:J22)</f>
        <v>73646</v>
      </c>
      <c r="K23" s="346">
        <f>SUM(K16:K22)</f>
        <v>75735</v>
      </c>
      <c r="L23" s="346">
        <f>SUM(L16:L22)</f>
        <v>73336</v>
      </c>
      <c r="M23" s="428">
        <f>L23/K23*100</f>
        <v>96.83237604806232</v>
      </c>
      <c r="N23" s="345">
        <f>SUM(N16:N22)</f>
        <v>22988</v>
      </c>
      <c r="O23" s="345">
        <f>SUM(O16:O22)</f>
        <v>23515</v>
      </c>
      <c r="P23" s="345">
        <f>SUM(P16:P22)</f>
        <v>21414</v>
      </c>
      <c r="Q23" s="351">
        <f>P23/O23*100</f>
        <v>91.065277482458</v>
      </c>
      <c r="R23" s="383">
        <v>36</v>
      </c>
      <c r="S23" s="1389" t="s">
        <v>516</v>
      </c>
      <c r="T23" s="1389"/>
      <c r="U23" s="1389"/>
      <c r="V23" s="1335"/>
      <c r="W23" s="427">
        <f>SUM(W16:W22)</f>
        <v>27375</v>
      </c>
      <c r="X23" s="427">
        <f>SUM(X16:X22)</f>
        <v>29188</v>
      </c>
      <c r="Y23" s="427">
        <f>SUM(Y16:Y22)</f>
        <v>30988</v>
      </c>
      <c r="Z23" s="428">
        <f t="shared" si="6"/>
        <v>106.16691791147046</v>
      </c>
      <c r="AA23" s="427">
        <v>0</v>
      </c>
      <c r="AB23" s="427">
        <v>0</v>
      </c>
      <c r="AC23" s="427">
        <v>0</v>
      </c>
      <c r="AD23" s="430">
        <v>0</v>
      </c>
      <c r="AE23" s="383">
        <v>60</v>
      </c>
      <c r="AF23" s="1389" t="s">
        <v>516</v>
      </c>
      <c r="AG23" s="1389"/>
      <c r="AH23" s="1389"/>
      <c r="AI23" s="1335"/>
      <c r="AJ23" s="427">
        <f>SUM(AJ16:AJ22)</f>
        <v>2390</v>
      </c>
      <c r="AK23" s="427">
        <f>SUM(AK16:AK22)</f>
        <v>2390</v>
      </c>
      <c r="AL23" s="427">
        <f>SUM(AL16:AL22)</f>
        <v>2362</v>
      </c>
      <c r="AM23" s="428">
        <f>AL23/AK23*100</f>
        <v>98.82845188284519</v>
      </c>
      <c r="AN23" s="427">
        <f>SUM(AN16:AN22)</f>
        <v>625</v>
      </c>
      <c r="AO23" s="427">
        <f>SUM(AO16:AO22)</f>
        <v>2919</v>
      </c>
      <c r="AP23" s="427">
        <f>SUM(AP16:AP22)</f>
        <v>1743</v>
      </c>
      <c r="AQ23" s="428">
        <f>AP23/AO23*100</f>
        <v>59.71223021582733</v>
      </c>
      <c r="AR23" s="427">
        <v>0</v>
      </c>
      <c r="AS23" s="427">
        <v>0</v>
      </c>
      <c r="AT23" s="427">
        <v>0</v>
      </c>
      <c r="AU23" s="351">
        <v>0</v>
      </c>
    </row>
    <row r="24" spans="1:47" ht="13.5" thickBot="1">
      <c r="A24" s="403">
        <v>13</v>
      </c>
      <c r="B24" s="1386" t="s">
        <v>483</v>
      </c>
      <c r="C24" s="1387"/>
      <c r="D24" s="1387"/>
      <c r="E24" s="1387"/>
      <c r="F24" s="447">
        <f t="shared" si="0"/>
        <v>7549</v>
      </c>
      <c r="G24" s="446">
        <f t="shared" si="1"/>
        <v>7695</v>
      </c>
      <c r="H24" s="446">
        <f t="shared" si="2"/>
        <v>6537</v>
      </c>
      <c r="I24" s="369">
        <f t="shared" si="5"/>
        <v>84.95126705653021</v>
      </c>
      <c r="J24" s="367">
        <v>4402</v>
      </c>
      <c r="K24" s="359">
        <v>4402</v>
      </c>
      <c r="L24" s="359">
        <v>3821</v>
      </c>
      <c r="M24" s="452">
        <f>L24/K24*100</f>
        <v>86.80145388459792</v>
      </c>
      <c r="N24" s="359">
        <v>1395</v>
      </c>
      <c r="O24" s="359">
        <v>1395</v>
      </c>
      <c r="P24" s="359">
        <v>1108</v>
      </c>
      <c r="Q24" s="369">
        <f>P24/O24*100</f>
        <v>79.42652329749103</v>
      </c>
      <c r="R24" s="383">
        <v>37</v>
      </c>
      <c r="S24" s="1419" t="s">
        <v>483</v>
      </c>
      <c r="T24" s="1419"/>
      <c r="U24" s="1419"/>
      <c r="V24" s="1420"/>
      <c r="W24" s="40">
        <v>1752</v>
      </c>
      <c r="X24" s="40">
        <v>1898</v>
      </c>
      <c r="Y24" s="40">
        <v>1608</v>
      </c>
      <c r="Z24" s="443">
        <f t="shared" si="6"/>
        <v>84.72075869336143</v>
      </c>
      <c r="AA24" s="40">
        <v>0</v>
      </c>
      <c r="AB24" s="40">
        <v>0</v>
      </c>
      <c r="AC24" s="40">
        <v>0</v>
      </c>
      <c r="AD24" s="41">
        <v>0</v>
      </c>
      <c r="AE24" s="383">
        <v>61</v>
      </c>
      <c r="AF24" s="1419" t="s">
        <v>483</v>
      </c>
      <c r="AG24" s="1419"/>
      <c r="AH24" s="1419"/>
      <c r="AI24" s="1420"/>
      <c r="AJ24" s="40">
        <v>0</v>
      </c>
      <c r="AK24" s="40">
        <v>0</v>
      </c>
      <c r="AL24" s="40">
        <v>0</v>
      </c>
      <c r="AM24" s="443">
        <v>0</v>
      </c>
      <c r="AN24" s="40">
        <v>0</v>
      </c>
      <c r="AO24" s="40">
        <v>0</v>
      </c>
      <c r="AP24" s="40">
        <v>0</v>
      </c>
      <c r="AQ24" s="443">
        <v>0</v>
      </c>
      <c r="AR24" s="40">
        <v>0</v>
      </c>
      <c r="AS24" s="40">
        <v>0</v>
      </c>
      <c r="AT24" s="40">
        <v>0</v>
      </c>
      <c r="AU24" s="442">
        <v>0</v>
      </c>
    </row>
    <row r="25" spans="1:47" ht="13.5" thickBot="1">
      <c r="A25" s="403">
        <v>14</v>
      </c>
      <c r="B25" s="1303" t="s">
        <v>482</v>
      </c>
      <c r="C25" s="1048"/>
      <c r="D25" s="1048"/>
      <c r="E25" s="1048"/>
      <c r="F25" s="451">
        <f t="shared" si="0"/>
        <v>29216</v>
      </c>
      <c r="G25" s="450">
        <f t="shared" si="1"/>
        <v>31175</v>
      </c>
      <c r="H25" s="450">
        <f t="shared" si="2"/>
        <v>33459</v>
      </c>
      <c r="I25" s="352">
        <f t="shared" si="5"/>
        <v>107.32638331996793</v>
      </c>
      <c r="J25" s="284">
        <v>10926</v>
      </c>
      <c r="K25" s="282">
        <v>11046</v>
      </c>
      <c r="L25" s="282">
        <v>10915</v>
      </c>
      <c r="M25" s="449">
        <f>L25/K25*100</f>
        <v>98.81405033496287</v>
      </c>
      <c r="N25" s="282">
        <v>3253</v>
      </c>
      <c r="O25" s="282">
        <v>3275</v>
      </c>
      <c r="P25" s="282">
        <v>2997</v>
      </c>
      <c r="Q25" s="352">
        <f>P25/O25*100</f>
        <v>91.5114503816794</v>
      </c>
      <c r="R25" s="383">
        <v>38</v>
      </c>
      <c r="S25" s="1042" t="s">
        <v>482</v>
      </c>
      <c r="T25" s="1042"/>
      <c r="U25" s="1042"/>
      <c r="V25" s="1043"/>
      <c r="W25" s="434">
        <v>10237</v>
      </c>
      <c r="X25" s="434">
        <v>10938</v>
      </c>
      <c r="Y25" s="434">
        <v>13683</v>
      </c>
      <c r="Z25" s="435">
        <f t="shared" si="6"/>
        <v>125.09599561162918</v>
      </c>
      <c r="AA25" s="434">
        <v>0</v>
      </c>
      <c r="AB25" s="434">
        <v>0</v>
      </c>
      <c r="AC25" s="434">
        <v>0</v>
      </c>
      <c r="AD25" s="439">
        <v>0</v>
      </c>
      <c r="AE25" s="383">
        <v>62</v>
      </c>
      <c r="AF25" s="1042" t="s">
        <v>482</v>
      </c>
      <c r="AG25" s="1042"/>
      <c r="AH25" s="1042"/>
      <c r="AI25" s="1043"/>
      <c r="AJ25" s="434">
        <v>2800</v>
      </c>
      <c r="AK25" s="434">
        <v>2800</v>
      </c>
      <c r="AL25" s="434">
        <v>3104</v>
      </c>
      <c r="AM25" s="435">
        <f>AL25/AK25*100</f>
        <v>110.85714285714286</v>
      </c>
      <c r="AN25" s="434">
        <v>2000</v>
      </c>
      <c r="AO25" s="434">
        <v>3116</v>
      </c>
      <c r="AP25" s="434">
        <v>2760</v>
      </c>
      <c r="AQ25" s="435">
        <f>AP25/AO25*100</f>
        <v>88.57509627727856</v>
      </c>
      <c r="AR25" s="434">
        <v>0</v>
      </c>
      <c r="AS25" s="434">
        <v>0</v>
      </c>
      <c r="AT25" s="434">
        <v>0</v>
      </c>
      <c r="AU25" s="115">
        <v>0</v>
      </c>
    </row>
    <row r="26" spans="1:47" ht="13.5" thickBot="1">
      <c r="A26" s="418">
        <v>15</v>
      </c>
      <c r="B26" s="1270" t="s">
        <v>481</v>
      </c>
      <c r="C26" s="1270"/>
      <c r="D26" s="1270"/>
      <c r="E26" s="1270"/>
      <c r="F26" s="441">
        <f t="shared" si="0"/>
        <v>850</v>
      </c>
      <c r="G26" s="440">
        <f t="shared" si="1"/>
        <v>850</v>
      </c>
      <c r="H26" s="440">
        <f t="shared" si="2"/>
        <v>515</v>
      </c>
      <c r="I26" s="352">
        <f t="shared" si="5"/>
        <v>60.588235294117645</v>
      </c>
      <c r="J26" s="282">
        <v>0</v>
      </c>
      <c r="K26" s="282">
        <v>0</v>
      </c>
      <c r="L26" s="282">
        <v>0</v>
      </c>
      <c r="M26" s="435">
        <v>0</v>
      </c>
      <c r="N26" s="282">
        <v>0</v>
      </c>
      <c r="O26" s="282">
        <v>0</v>
      </c>
      <c r="P26" s="282">
        <v>0</v>
      </c>
      <c r="Q26" s="115">
        <v>0</v>
      </c>
      <c r="R26" s="383">
        <v>39</v>
      </c>
      <c r="S26" s="1048" t="s">
        <v>481</v>
      </c>
      <c r="T26" s="1048"/>
      <c r="U26" s="1048"/>
      <c r="V26" s="1049"/>
      <c r="W26" s="434">
        <v>850</v>
      </c>
      <c r="X26" s="434">
        <v>850</v>
      </c>
      <c r="Y26" s="434">
        <v>515</v>
      </c>
      <c r="Z26" s="435">
        <f t="shared" si="6"/>
        <v>60.588235294117645</v>
      </c>
      <c r="AA26" s="434">
        <v>0</v>
      </c>
      <c r="AB26" s="434">
        <v>0</v>
      </c>
      <c r="AC26" s="434">
        <v>0</v>
      </c>
      <c r="AD26" s="439">
        <v>0</v>
      </c>
      <c r="AE26" s="383">
        <v>63</v>
      </c>
      <c r="AF26" s="1048" t="s">
        <v>481</v>
      </c>
      <c r="AG26" s="1048"/>
      <c r="AH26" s="1048"/>
      <c r="AI26" s="1049"/>
      <c r="AJ26" s="434">
        <v>0</v>
      </c>
      <c r="AK26" s="434">
        <v>0</v>
      </c>
      <c r="AL26" s="434">
        <v>0</v>
      </c>
      <c r="AM26" s="435">
        <v>0</v>
      </c>
      <c r="AN26" s="434">
        <v>0</v>
      </c>
      <c r="AO26" s="434">
        <v>0</v>
      </c>
      <c r="AP26" s="434">
        <v>0</v>
      </c>
      <c r="AQ26" s="435">
        <v>0</v>
      </c>
      <c r="AR26" s="434">
        <v>0</v>
      </c>
      <c r="AS26" s="434">
        <v>0</v>
      </c>
      <c r="AT26" s="434">
        <v>0</v>
      </c>
      <c r="AU26" s="115">
        <v>0</v>
      </c>
    </row>
    <row r="27" spans="1:47" ht="13.5" thickBot="1">
      <c r="A27" s="448">
        <v>16</v>
      </c>
      <c r="B27" s="1388" t="s">
        <v>515</v>
      </c>
      <c r="C27" s="1389"/>
      <c r="D27" s="1389"/>
      <c r="E27" s="1390"/>
      <c r="F27" s="432">
        <f t="shared" si="0"/>
        <v>37615</v>
      </c>
      <c r="G27" s="431">
        <f t="shared" si="1"/>
        <v>39720</v>
      </c>
      <c r="H27" s="431">
        <f t="shared" si="2"/>
        <v>40511</v>
      </c>
      <c r="I27" s="347">
        <f t="shared" si="5"/>
        <v>101.99144008056396</v>
      </c>
      <c r="J27" s="346">
        <f>SUM(J24:J25)</f>
        <v>15328</v>
      </c>
      <c r="K27" s="345">
        <f>SUM(K24:K26)</f>
        <v>15448</v>
      </c>
      <c r="L27" s="345">
        <f>SUM(L24:L26)</f>
        <v>14736</v>
      </c>
      <c r="M27" s="428">
        <f>L27/K27*100</f>
        <v>95.3909891248058</v>
      </c>
      <c r="N27" s="345">
        <f>SUM(N24:N26)</f>
        <v>4648</v>
      </c>
      <c r="O27" s="345">
        <f>SUM(O24:O26)</f>
        <v>4670</v>
      </c>
      <c r="P27" s="345">
        <f>SUM(P24:P26)</f>
        <v>4105</v>
      </c>
      <c r="Q27" s="351">
        <f>P27/O27*100</f>
        <v>87.90149892933619</v>
      </c>
      <c r="R27" s="383">
        <v>40</v>
      </c>
      <c r="S27" s="1389" t="s">
        <v>515</v>
      </c>
      <c r="T27" s="1389"/>
      <c r="U27" s="1389"/>
      <c r="V27" s="1335"/>
      <c r="W27" s="427">
        <f>SUM(W24:W26)</f>
        <v>12839</v>
      </c>
      <c r="X27" s="427">
        <f>SUM(X24:X26)</f>
        <v>13686</v>
      </c>
      <c r="Y27" s="427">
        <f>SUM(Y24:Y26)</f>
        <v>15806</v>
      </c>
      <c r="Z27" s="428">
        <f t="shared" si="6"/>
        <v>115.49028204004092</v>
      </c>
      <c r="AA27" s="427">
        <v>0</v>
      </c>
      <c r="AB27" s="427">
        <v>0</v>
      </c>
      <c r="AC27" s="427">
        <v>0</v>
      </c>
      <c r="AD27" s="430">
        <v>0</v>
      </c>
      <c r="AE27" s="383">
        <v>64</v>
      </c>
      <c r="AF27" s="1389" t="s">
        <v>515</v>
      </c>
      <c r="AG27" s="1389"/>
      <c r="AH27" s="1389"/>
      <c r="AI27" s="1335"/>
      <c r="AJ27" s="427">
        <f>SUM(AJ25)</f>
        <v>2800</v>
      </c>
      <c r="AK27" s="427">
        <f>SUM(AK25)</f>
        <v>2800</v>
      </c>
      <c r="AL27" s="427">
        <f>SUM(AL25)</f>
        <v>3104</v>
      </c>
      <c r="AM27" s="428">
        <f>AL27/AK27*100</f>
        <v>110.85714285714286</v>
      </c>
      <c r="AN27" s="427">
        <f>AN24+AN25</f>
        <v>2000</v>
      </c>
      <c r="AO27" s="427">
        <f>AO24+AO25</f>
        <v>3116</v>
      </c>
      <c r="AP27" s="427">
        <f>AP24+AP25</f>
        <v>2760</v>
      </c>
      <c r="AQ27" s="428">
        <f>AP27/AO27*100</f>
        <v>88.57509627727856</v>
      </c>
      <c r="AR27" s="427">
        <v>0</v>
      </c>
      <c r="AS27" s="427">
        <v>0</v>
      </c>
      <c r="AT27" s="427">
        <v>0</v>
      </c>
      <c r="AU27" s="351">
        <v>0</v>
      </c>
    </row>
    <row r="28" spans="1:47" ht="13.5" thickBot="1">
      <c r="A28" s="403">
        <v>17</v>
      </c>
      <c r="B28" s="1386" t="s">
        <v>514</v>
      </c>
      <c r="C28" s="1387"/>
      <c r="D28" s="1387"/>
      <c r="E28" s="1387"/>
      <c r="F28" s="447">
        <v>0</v>
      </c>
      <c r="G28" s="446">
        <v>0</v>
      </c>
      <c r="H28" s="446">
        <v>0</v>
      </c>
      <c r="I28" s="442">
        <v>0</v>
      </c>
      <c r="J28" s="367">
        <v>0</v>
      </c>
      <c r="K28" s="359">
        <v>0</v>
      </c>
      <c r="L28" s="359">
        <v>0</v>
      </c>
      <c r="M28" s="443">
        <v>0</v>
      </c>
      <c r="N28" s="359">
        <v>0</v>
      </c>
      <c r="O28" s="359">
        <v>0</v>
      </c>
      <c r="P28" s="359">
        <v>0</v>
      </c>
      <c r="Q28" s="445">
        <v>0</v>
      </c>
      <c r="R28" s="383">
        <v>41</v>
      </c>
      <c r="S28" s="1419" t="s">
        <v>514</v>
      </c>
      <c r="T28" s="1419"/>
      <c r="U28" s="1419"/>
      <c r="V28" s="1420"/>
      <c r="W28" s="40">
        <v>0</v>
      </c>
      <c r="X28" s="40">
        <v>0</v>
      </c>
      <c r="Y28" s="40">
        <v>0</v>
      </c>
      <c r="Z28" s="443">
        <v>0</v>
      </c>
      <c r="AA28" s="40">
        <v>0</v>
      </c>
      <c r="AB28" s="40">
        <v>0</v>
      </c>
      <c r="AC28" s="40">
        <v>0</v>
      </c>
      <c r="AD28" s="41">
        <v>0</v>
      </c>
      <c r="AE28" s="383">
        <v>65</v>
      </c>
      <c r="AF28" s="1419" t="s">
        <v>514</v>
      </c>
      <c r="AG28" s="1419"/>
      <c r="AH28" s="1419"/>
      <c r="AI28" s="1420"/>
      <c r="AJ28" s="40">
        <v>0</v>
      </c>
      <c r="AK28" s="40">
        <v>0</v>
      </c>
      <c r="AL28" s="40">
        <v>0</v>
      </c>
      <c r="AM28" s="444">
        <v>0</v>
      </c>
      <c r="AN28" s="40">
        <v>0</v>
      </c>
      <c r="AO28" s="40">
        <v>0</v>
      </c>
      <c r="AP28" s="40">
        <v>0</v>
      </c>
      <c r="AQ28" s="443">
        <v>0</v>
      </c>
      <c r="AR28" s="40">
        <v>0</v>
      </c>
      <c r="AS28" s="40">
        <v>0</v>
      </c>
      <c r="AT28" s="40">
        <v>0</v>
      </c>
      <c r="AU28" s="442">
        <v>0</v>
      </c>
    </row>
    <row r="29" spans="1:47" ht="13.5" thickBot="1">
      <c r="A29" s="403">
        <v>18</v>
      </c>
      <c r="B29" s="1303" t="s">
        <v>513</v>
      </c>
      <c r="C29" s="1048"/>
      <c r="D29" s="1048"/>
      <c r="E29" s="1048"/>
      <c r="F29" s="441">
        <f aca="true" t="shared" si="7" ref="F29:H35">J29+N29+W29+AA29+AJ29+AN29+AR29</f>
        <v>555</v>
      </c>
      <c r="G29" s="440">
        <f t="shared" si="7"/>
        <v>968</v>
      </c>
      <c r="H29" s="440">
        <f t="shared" si="7"/>
        <v>906</v>
      </c>
      <c r="I29" s="352">
        <f aca="true" t="shared" si="8" ref="I29:I35">H29/G29*100</f>
        <v>93.59504132231406</v>
      </c>
      <c r="J29" s="284">
        <v>0</v>
      </c>
      <c r="K29" s="282">
        <v>0</v>
      </c>
      <c r="L29" s="282">
        <v>0</v>
      </c>
      <c r="M29" s="435">
        <v>0</v>
      </c>
      <c r="N29" s="282">
        <v>0</v>
      </c>
      <c r="O29" s="282">
        <v>0</v>
      </c>
      <c r="P29" s="282">
        <v>0</v>
      </c>
      <c r="Q29" s="115">
        <v>0</v>
      </c>
      <c r="R29" s="383">
        <v>42</v>
      </c>
      <c r="S29" s="1277" t="s">
        <v>513</v>
      </c>
      <c r="T29" s="1277"/>
      <c r="U29" s="1277"/>
      <c r="V29" s="1421"/>
      <c r="W29" s="434">
        <v>355</v>
      </c>
      <c r="X29" s="434">
        <v>640</v>
      </c>
      <c r="Y29" s="434">
        <v>578</v>
      </c>
      <c r="Z29" s="435">
        <f aca="true" t="shared" si="9" ref="Z29:Z35">Y29/X29*100</f>
        <v>90.3125</v>
      </c>
      <c r="AA29" s="434">
        <v>0</v>
      </c>
      <c r="AB29" s="434">
        <v>0</v>
      </c>
      <c r="AC29" s="434">
        <v>0</v>
      </c>
      <c r="AD29" s="439">
        <v>0</v>
      </c>
      <c r="AE29" s="383">
        <v>66</v>
      </c>
      <c r="AF29" s="1277" t="s">
        <v>513</v>
      </c>
      <c r="AG29" s="1277"/>
      <c r="AH29" s="1277"/>
      <c r="AI29" s="1421"/>
      <c r="AJ29" s="434">
        <v>0</v>
      </c>
      <c r="AK29" s="434">
        <v>0</v>
      </c>
      <c r="AL29" s="438">
        <v>0</v>
      </c>
      <c r="AM29" s="437">
        <v>0</v>
      </c>
      <c r="AN29" s="436">
        <v>0</v>
      </c>
      <c r="AO29" s="434">
        <v>0</v>
      </c>
      <c r="AP29" s="434">
        <v>0</v>
      </c>
      <c r="AQ29" s="435">
        <v>0</v>
      </c>
      <c r="AR29" s="434">
        <v>200</v>
      </c>
      <c r="AS29" s="434">
        <v>328</v>
      </c>
      <c r="AT29" s="434">
        <v>328</v>
      </c>
      <c r="AU29" s="115">
        <v>100</v>
      </c>
    </row>
    <row r="30" spans="1:218" ht="13.5" thickBot="1">
      <c r="A30" s="433">
        <v>19</v>
      </c>
      <c r="B30" s="1391" t="s">
        <v>512</v>
      </c>
      <c r="C30" s="1389"/>
      <c r="D30" s="1389"/>
      <c r="E30" s="1389"/>
      <c r="F30" s="432">
        <f t="shared" si="7"/>
        <v>555</v>
      </c>
      <c r="G30" s="431">
        <f t="shared" si="7"/>
        <v>968</v>
      </c>
      <c r="H30" s="431">
        <f t="shared" si="7"/>
        <v>906</v>
      </c>
      <c r="I30" s="347">
        <f t="shared" si="8"/>
        <v>93.59504132231406</v>
      </c>
      <c r="J30" s="346">
        <f>SUM(J29)</f>
        <v>0</v>
      </c>
      <c r="K30" s="345">
        <f>SUM(K29)</f>
        <v>0</v>
      </c>
      <c r="L30" s="345">
        <v>0</v>
      </c>
      <c r="M30" s="428">
        <v>0</v>
      </c>
      <c r="N30" s="345">
        <v>0</v>
      </c>
      <c r="O30" s="345">
        <v>0</v>
      </c>
      <c r="P30" s="345">
        <v>0</v>
      </c>
      <c r="Q30" s="351">
        <v>0</v>
      </c>
      <c r="R30" s="383">
        <v>43</v>
      </c>
      <c r="S30" s="1389" t="s">
        <v>512</v>
      </c>
      <c r="T30" s="1389"/>
      <c r="U30" s="1389"/>
      <c r="V30" s="1335"/>
      <c r="W30" s="427">
        <f>SUM(W28:W29)</f>
        <v>355</v>
      </c>
      <c r="X30" s="427">
        <f>SUM(X28:X29)</f>
        <v>640</v>
      </c>
      <c r="Y30" s="427">
        <f>SUM(Y28:Y29)</f>
        <v>578</v>
      </c>
      <c r="Z30" s="428">
        <f t="shared" si="9"/>
        <v>90.3125</v>
      </c>
      <c r="AA30" s="427">
        <v>0</v>
      </c>
      <c r="AB30" s="427">
        <v>0</v>
      </c>
      <c r="AC30" s="427">
        <v>0</v>
      </c>
      <c r="AD30" s="430">
        <v>0</v>
      </c>
      <c r="AE30" s="383">
        <v>67</v>
      </c>
      <c r="AF30" s="1389" t="s">
        <v>512</v>
      </c>
      <c r="AG30" s="1389"/>
      <c r="AH30" s="1389"/>
      <c r="AI30" s="1335"/>
      <c r="AJ30" s="427">
        <f>AJ28+AJ29</f>
        <v>0</v>
      </c>
      <c r="AK30" s="427">
        <f>AK28+AK29</f>
        <v>0</v>
      </c>
      <c r="AL30" s="427">
        <f>AL28+AL29</f>
        <v>0</v>
      </c>
      <c r="AM30" s="429">
        <v>0</v>
      </c>
      <c r="AN30" s="427">
        <f>AN28+AN29</f>
        <v>0</v>
      </c>
      <c r="AO30" s="427">
        <f>AO28+AO29</f>
        <v>0</v>
      </c>
      <c r="AP30" s="427">
        <f>AP28+AP29</f>
        <v>0</v>
      </c>
      <c r="AQ30" s="428">
        <v>0</v>
      </c>
      <c r="AR30" s="427">
        <f>AR28+AR29</f>
        <v>200</v>
      </c>
      <c r="AS30" s="427">
        <f>SUM(AS28:AS29)</f>
        <v>328</v>
      </c>
      <c r="AT30" s="427">
        <f>SUM(AT28:AT29)</f>
        <v>328</v>
      </c>
      <c r="AU30" s="351">
        <v>100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</row>
    <row r="31" spans="1:47" ht="13.5" thickBot="1">
      <c r="A31" s="403">
        <v>20</v>
      </c>
      <c r="B31" s="1386" t="s">
        <v>477</v>
      </c>
      <c r="C31" s="1387"/>
      <c r="D31" s="1387"/>
      <c r="E31" s="1387"/>
      <c r="F31" s="426">
        <f t="shared" si="7"/>
        <v>25550</v>
      </c>
      <c r="G31" s="425">
        <f t="shared" si="7"/>
        <v>26482</v>
      </c>
      <c r="H31" s="425">
        <f t="shared" si="7"/>
        <v>24653</v>
      </c>
      <c r="I31" s="423">
        <f t="shared" si="8"/>
        <v>93.09342194698286</v>
      </c>
      <c r="J31" s="342">
        <v>16280</v>
      </c>
      <c r="K31" s="341">
        <v>16494</v>
      </c>
      <c r="L31" s="341">
        <v>15912</v>
      </c>
      <c r="M31" s="424">
        <f>L31/K31*100</f>
        <v>96.47144416151328</v>
      </c>
      <c r="N31" s="341">
        <v>4573</v>
      </c>
      <c r="O31" s="341">
        <v>4631</v>
      </c>
      <c r="P31" s="341">
        <v>4457</v>
      </c>
      <c r="Q31" s="423">
        <f>P31/O31*100</f>
        <v>96.24271215720147</v>
      </c>
      <c r="R31" s="383">
        <v>44</v>
      </c>
      <c r="S31" s="1419" t="s">
        <v>511</v>
      </c>
      <c r="T31" s="1419"/>
      <c r="U31" s="1419"/>
      <c r="V31" s="1420"/>
      <c r="W31" s="420">
        <v>4697</v>
      </c>
      <c r="X31" s="420">
        <v>4697</v>
      </c>
      <c r="Y31" s="420">
        <v>4190</v>
      </c>
      <c r="Z31" s="421">
        <f t="shared" si="9"/>
        <v>89.205876091122</v>
      </c>
      <c r="AA31" s="420">
        <v>0</v>
      </c>
      <c r="AB31" s="420">
        <v>0</v>
      </c>
      <c r="AC31" s="420">
        <v>0</v>
      </c>
      <c r="AD31" s="422">
        <v>0</v>
      </c>
      <c r="AE31" s="383">
        <v>68</v>
      </c>
      <c r="AF31" s="1419" t="s">
        <v>511</v>
      </c>
      <c r="AG31" s="1419"/>
      <c r="AH31" s="1419"/>
      <c r="AI31" s="1420"/>
      <c r="AJ31" s="420">
        <v>0</v>
      </c>
      <c r="AK31" s="420">
        <v>0</v>
      </c>
      <c r="AL31" s="420">
        <v>0</v>
      </c>
      <c r="AM31" s="421">
        <v>0</v>
      </c>
      <c r="AN31" s="420">
        <v>0</v>
      </c>
      <c r="AO31" s="420">
        <v>660</v>
      </c>
      <c r="AP31" s="420">
        <v>94</v>
      </c>
      <c r="AQ31" s="421">
        <f>AP31/AO31*100</f>
        <v>14.242424242424242</v>
      </c>
      <c r="AR31" s="420">
        <v>0</v>
      </c>
      <c r="AS31" s="420">
        <v>0</v>
      </c>
      <c r="AT31" s="420">
        <v>0</v>
      </c>
      <c r="AU31" s="419">
        <v>0</v>
      </c>
    </row>
    <row r="32" spans="1:47" ht="13.5" thickBot="1">
      <c r="A32" s="418">
        <v>21</v>
      </c>
      <c r="B32" s="1155" t="s">
        <v>476</v>
      </c>
      <c r="C32" s="1042"/>
      <c r="D32" s="1042"/>
      <c r="E32" s="1042"/>
      <c r="F32" s="417">
        <f t="shared" si="7"/>
        <v>7783</v>
      </c>
      <c r="G32" s="416">
        <f t="shared" si="7"/>
        <v>7783</v>
      </c>
      <c r="H32" s="416">
        <f t="shared" si="7"/>
        <v>7286</v>
      </c>
      <c r="I32" s="318">
        <f t="shared" si="8"/>
        <v>93.614287549788</v>
      </c>
      <c r="J32" s="331">
        <v>5282</v>
      </c>
      <c r="K32" s="329">
        <v>5282</v>
      </c>
      <c r="L32" s="329">
        <v>5078</v>
      </c>
      <c r="M32" s="415">
        <f>L32/K32*100</f>
        <v>96.1378265808406</v>
      </c>
      <c r="N32" s="329">
        <v>1661</v>
      </c>
      <c r="O32" s="329">
        <v>1661</v>
      </c>
      <c r="P32" s="329">
        <v>1540</v>
      </c>
      <c r="Q32" s="318">
        <f>P32/O32*100</f>
        <v>92.71523178807946</v>
      </c>
      <c r="R32" s="383">
        <v>45</v>
      </c>
      <c r="S32" s="1042" t="s">
        <v>510</v>
      </c>
      <c r="T32" s="1042"/>
      <c r="U32" s="1042"/>
      <c r="V32" s="1043"/>
      <c r="W32" s="412">
        <v>840</v>
      </c>
      <c r="X32" s="412">
        <v>840</v>
      </c>
      <c r="Y32" s="412">
        <v>562</v>
      </c>
      <c r="Z32" s="413">
        <f t="shared" si="9"/>
        <v>66.9047619047619</v>
      </c>
      <c r="AA32" s="412">
        <v>0</v>
      </c>
      <c r="AB32" s="412">
        <v>0</v>
      </c>
      <c r="AC32" s="412">
        <v>0</v>
      </c>
      <c r="AD32" s="414">
        <v>0</v>
      </c>
      <c r="AE32" s="383">
        <v>69</v>
      </c>
      <c r="AF32" s="1042" t="s">
        <v>510</v>
      </c>
      <c r="AG32" s="1042"/>
      <c r="AH32" s="1042"/>
      <c r="AI32" s="1043"/>
      <c r="AJ32" s="412">
        <v>0</v>
      </c>
      <c r="AK32" s="412">
        <v>0</v>
      </c>
      <c r="AL32" s="412">
        <v>0</v>
      </c>
      <c r="AM32" s="413">
        <v>0</v>
      </c>
      <c r="AN32" s="412">
        <v>0</v>
      </c>
      <c r="AO32" s="412">
        <v>0</v>
      </c>
      <c r="AP32" s="412">
        <v>106</v>
      </c>
      <c r="AQ32" s="413">
        <v>0</v>
      </c>
      <c r="AR32" s="412">
        <v>0</v>
      </c>
      <c r="AS32" s="412">
        <v>0</v>
      </c>
      <c r="AT32" s="412">
        <v>0</v>
      </c>
      <c r="AU32" s="411">
        <v>0</v>
      </c>
    </row>
    <row r="33" spans="1:47" ht="13.5" thickBot="1">
      <c r="A33" s="403">
        <v>22</v>
      </c>
      <c r="B33" s="1303" t="s">
        <v>475</v>
      </c>
      <c r="C33" s="1048"/>
      <c r="D33" s="1048"/>
      <c r="E33" s="1048"/>
      <c r="F33" s="410">
        <f t="shared" si="7"/>
        <v>456</v>
      </c>
      <c r="G33" s="409">
        <f t="shared" si="7"/>
        <v>456</v>
      </c>
      <c r="H33" s="409">
        <f t="shared" si="7"/>
        <v>428</v>
      </c>
      <c r="I33" s="321">
        <f t="shared" si="8"/>
        <v>93.85964912280701</v>
      </c>
      <c r="J33" s="327">
        <v>0</v>
      </c>
      <c r="K33" s="319">
        <v>0</v>
      </c>
      <c r="L33" s="319">
        <v>0</v>
      </c>
      <c r="M33" s="406">
        <v>0</v>
      </c>
      <c r="N33" s="319">
        <v>0</v>
      </c>
      <c r="O33" s="319">
        <v>0</v>
      </c>
      <c r="P33" s="319">
        <v>0</v>
      </c>
      <c r="Q33" s="404">
        <v>0</v>
      </c>
      <c r="R33" s="383">
        <v>46</v>
      </c>
      <c r="S33" s="1277" t="s">
        <v>509</v>
      </c>
      <c r="T33" s="1277"/>
      <c r="U33" s="1277"/>
      <c r="V33" s="1421"/>
      <c r="W33" s="405">
        <v>456</v>
      </c>
      <c r="X33" s="405">
        <v>456</v>
      </c>
      <c r="Y33" s="405">
        <v>428</v>
      </c>
      <c r="Z33" s="406">
        <f t="shared" si="9"/>
        <v>93.85964912280701</v>
      </c>
      <c r="AA33" s="405">
        <v>0</v>
      </c>
      <c r="AB33" s="405">
        <v>0</v>
      </c>
      <c r="AC33" s="405">
        <v>0</v>
      </c>
      <c r="AD33" s="408">
        <v>0</v>
      </c>
      <c r="AE33" s="383">
        <v>70</v>
      </c>
      <c r="AF33" s="1277" t="s">
        <v>509</v>
      </c>
      <c r="AG33" s="1277"/>
      <c r="AH33" s="1277"/>
      <c r="AI33" s="1421"/>
      <c r="AJ33" s="405">
        <v>0</v>
      </c>
      <c r="AK33" s="405">
        <v>0</v>
      </c>
      <c r="AL33" s="405">
        <v>0</v>
      </c>
      <c r="AM33" s="407">
        <v>0</v>
      </c>
      <c r="AN33" s="405">
        <v>0</v>
      </c>
      <c r="AO33" s="405">
        <v>0</v>
      </c>
      <c r="AP33" s="405">
        <v>0</v>
      </c>
      <c r="AQ33" s="406">
        <v>0</v>
      </c>
      <c r="AR33" s="405">
        <v>0</v>
      </c>
      <c r="AS33" s="405">
        <v>0</v>
      </c>
      <c r="AT33" s="405">
        <v>0</v>
      </c>
      <c r="AU33" s="404">
        <v>0</v>
      </c>
    </row>
    <row r="34" spans="1:47" ht="13.5" thickBot="1">
      <c r="A34" s="403">
        <v>23</v>
      </c>
      <c r="B34" s="1391" t="s">
        <v>508</v>
      </c>
      <c r="C34" s="1389"/>
      <c r="D34" s="1389"/>
      <c r="E34" s="1389"/>
      <c r="F34" s="402">
        <f t="shared" si="7"/>
        <v>33789</v>
      </c>
      <c r="G34" s="401">
        <f t="shared" si="7"/>
        <v>34721</v>
      </c>
      <c r="H34" s="400">
        <f t="shared" si="7"/>
        <v>32367</v>
      </c>
      <c r="I34" s="307">
        <f t="shared" si="8"/>
        <v>93.2202413524956</v>
      </c>
      <c r="J34" s="312">
        <f>SUM(J31:J33)</f>
        <v>21562</v>
      </c>
      <c r="K34" s="312">
        <f>SUM(K31:K33)</f>
        <v>21776</v>
      </c>
      <c r="L34" s="312">
        <f>SUM(L31:L33)</f>
        <v>20990</v>
      </c>
      <c r="M34" s="399">
        <f>L34/K34*100</f>
        <v>96.39052167523879</v>
      </c>
      <c r="N34" s="313">
        <f>SUM(N31:N33)</f>
        <v>6234</v>
      </c>
      <c r="O34" s="313">
        <f>SUM(O31:O33)</f>
        <v>6292</v>
      </c>
      <c r="P34" s="313">
        <f>SUM(P31:P33)</f>
        <v>5997</v>
      </c>
      <c r="Q34" s="307">
        <f>P34/O34*100</f>
        <v>95.31150667514304</v>
      </c>
      <c r="R34" s="383">
        <v>47</v>
      </c>
      <c r="S34" s="1389" t="s">
        <v>508</v>
      </c>
      <c r="T34" s="1389"/>
      <c r="U34" s="1389"/>
      <c r="V34" s="1335"/>
      <c r="W34" s="395">
        <f>SUM(W31:W33)</f>
        <v>5993</v>
      </c>
      <c r="X34" s="395">
        <f>SUM(X31:X33)</f>
        <v>5993</v>
      </c>
      <c r="Y34" s="395">
        <f>SUM(Y31:Y33)</f>
        <v>5180</v>
      </c>
      <c r="Z34" s="396">
        <f t="shared" si="9"/>
        <v>86.43417320206908</v>
      </c>
      <c r="AA34" s="395">
        <v>0</v>
      </c>
      <c r="AB34" s="395">
        <v>0</v>
      </c>
      <c r="AC34" s="395">
        <v>0</v>
      </c>
      <c r="AD34" s="398">
        <v>0</v>
      </c>
      <c r="AE34" s="383">
        <v>71</v>
      </c>
      <c r="AF34" s="1422" t="s">
        <v>508</v>
      </c>
      <c r="AG34" s="1422"/>
      <c r="AH34" s="1422"/>
      <c r="AI34" s="1423"/>
      <c r="AJ34" s="395">
        <v>0</v>
      </c>
      <c r="AK34" s="395">
        <v>0</v>
      </c>
      <c r="AL34" s="395">
        <v>0</v>
      </c>
      <c r="AM34" s="397">
        <v>0</v>
      </c>
      <c r="AN34" s="395">
        <f>SUM(AN31:AN33)</f>
        <v>0</v>
      </c>
      <c r="AO34" s="395">
        <f>SUM(AO31:AO33)</f>
        <v>660</v>
      </c>
      <c r="AP34" s="395">
        <f>SUM(AP31:AP33)</f>
        <v>200</v>
      </c>
      <c r="AQ34" s="396">
        <f>AP34/AO34*100</f>
        <v>30.303030303030305</v>
      </c>
      <c r="AR34" s="395">
        <v>0</v>
      </c>
      <c r="AS34" s="395">
        <v>0</v>
      </c>
      <c r="AT34" s="395">
        <v>0</v>
      </c>
      <c r="AU34" s="394">
        <v>0</v>
      </c>
    </row>
    <row r="35" spans="1:218" s="379" customFormat="1" ht="13.5" thickBot="1">
      <c r="A35" s="393">
        <v>24</v>
      </c>
      <c r="B35" s="1274" t="s">
        <v>506</v>
      </c>
      <c r="C35" s="1279"/>
      <c r="D35" s="1279"/>
      <c r="E35" s="1279"/>
      <c r="F35" s="392">
        <f t="shared" si="7"/>
        <v>261314</v>
      </c>
      <c r="G35" s="391">
        <f t="shared" si="7"/>
        <v>273488</v>
      </c>
      <c r="H35" s="391">
        <f t="shared" si="7"/>
        <v>265556</v>
      </c>
      <c r="I35" s="390">
        <f t="shared" si="8"/>
        <v>97.09968993155093</v>
      </c>
      <c r="J35" s="389">
        <f>SUM(J34+J30+J27+J23+J15)</f>
        <v>147504</v>
      </c>
      <c r="K35" s="389">
        <f>SUM(K34+K30+K27+K23+K15)</f>
        <v>150124</v>
      </c>
      <c r="L35" s="389">
        <f>SUM(L34+L30+L27+L23+L15)</f>
        <v>144939</v>
      </c>
      <c r="M35" s="382">
        <f>L35/K35*100</f>
        <v>96.5461884841864</v>
      </c>
      <c r="N35" s="389">
        <f>SUM(N34+N30+N27+N23+N15)</f>
        <v>45462</v>
      </c>
      <c r="O35" s="389">
        <f>SUM(O34+O30+O27+O23+O15)</f>
        <v>46089</v>
      </c>
      <c r="P35" s="389">
        <f>SUM(P34+P30+P27+P23+P15)</f>
        <v>42159</v>
      </c>
      <c r="Q35" s="388">
        <f>P35/O35*100</f>
        <v>91.4730195925275</v>
      </c>
      <c r="R35" s="383">
        <v>48</v>
      </c>
      <c r="S35" s="1279" t="s">
        <v>507</v>
      </c>
      <c r="T35" s="1279"/>
      <c r="U35" s="1279"/>
      <c r="V35" s="1279"/>
      <c r="W35" s="387">
        <f>W34+W30+W27+W23+W15</f>
        <v>59463</v>
      </c>
      <c r="X35" s="387">
        <f>X34+X30+X27+X23+X15</f>
        <v>62528</v>
      </c>
      <c r="Y35" s="381">
        <f>Y34+Y30+Y27+Y23+Y15</f>
        <v>67505</v>
      </c>
      <c r="Z35" s="382">
        <f t="shared" si="9"/>
        <v>107.95963408393038</v>
      </c>
      <c r="AA35" s="386">
        <f>AA34+AA30+AA27+AA23+AA15</f>
        <v>0</v>
      </c>
      <c r="AB35" s="385">
        <f>AB34+AB30+AB27+AB23+AB15</f>
        <v>0</v>
      </c>
      <c r="AC35" s="384">
        <f>AC34+AC30+AC27+AC23+AC15</f>
        <v>0</v>
      </c>
      <c r="AD35" s="380">
        <f>AD34+AD30+AD27+AD23+AD15</f>
        <v>0</v>
      </c>
      <c r="AE35" s="383">
        <v>72</v>
      </c>
      <c r="AF35" s="281" t="s">
        <v>506</v>
      </c>
      <c r="AG35" s="281"/>
      <c r="AH35" s="281"/>
      <c r="AI35" s="281"/>
      <c r="AJ35" s="381">
        <f>AJ15+AJ23+AJ27+AJ34</f>
        <v>5690</v>
      </c>
      <c r="AK35" s="381">
        <f>AK15+AK23+AK27+AK34</f>
        <v>5690</v>
      </c>
      <c r="AL35" s="381">
        <f>AL15+AL23+AL27+AL34</f>
        <v>5622</v>
      </c>
      <c r="AM35" s="382">
        <f>AL35/AK35*100</f>
        <v>98.804920913884</v>
      </c>
      <c r="AN35" s="381">
        <f>AN15+AN23+AN27+AN34</f>
        <v>2995</v>
      </c>
      <c r="AO35" s="381">
        <f>AO15+AO23+AO27+AO34</f>
        <v>8729</v>
      </c>
      <c r="AP35" s="381">
        <f>AP15+AP23+AP27+AP34</f>
        <v>5003</v>
      </c>
      <c r="AQ35" s="382">
        <f>AP35/AO35*100</f>
        <v>57.31469813266125</v>
      </c>
      <c r="AR35" s="381">
        <f>AR15+AR23+AR27+AR34+AR30</f>
        <v>200</v>
      </c>
      <c r="AS35" s="381">
        <f>AS15+AS23+AS27+AS34+AS30</f>
        <v>328</v>
      </c>
      <c r="AT35" s="381">
        <f>AT15+AT23+AT27+AT34+AT30</f>
        <v>328</v>
      </c>
      <c r="AU35" s="380">
        <f>AU15+AU23+AU27+AU34</f>
        <v>0</v>
      </c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</row>
    <row r="36" spans="8:17" ht="12.75">
      <c r="H36" s="6"/>
      <c r="I36" s="159"/>
      <c r="J36" s="6"/>
      <c r="K36" s="6"/>
      <c r="L36" s="6"/>
      <c r="M36" s="159"/>
      <c r="N36" s="6"/>
      <c r="O36" s="6"/>
      <c r="P36" s="6"/>
      <c r="Q36" s="159"/>
    </row>
    <row r="37" spans="8:22" ht="13.5" thickBot="1">
      <c r="H37" s="6"/>
      <c r="I37" s="159"/>
      <c r="J37" s="6"/>
      <c r="K37" s="6"/>
      <c r="L37" s="6"/>
      <c r="M37" s="159"/>
      <c r="N37" s="6"/>
      <c r="O37" s="6"/>
      <c r="P37" s="6"/>
      <c r="Q37" s="159"/>
      <c r="U37" s="6"/>
      <c r="V37" s="6"/>
    </row>
    <row r="38" spans="8:31" ht="13.5" thickBot="1">
      <c r="H38" s="6"/>
      <c r="I38" s="159"/>
      <c r="J38" s="6"/>
      <c r="K38" s="6"/>
      <c r="L38" s="6"/>
      <c r="M38" s="159"/>
      <c r="N38" s="6"/>
      <c r="O38" s="6"/>
      <c r="P38" s="6"/>
      <c r="Q38" s="159"/>
      <c r="AE38" s="378"/>
    </row>
    <row r="39" spans="8:17" ht="12.75">
      <c r="H39" s="6"/>
      <c r="I39" s="159"/>
      <c r="J39" s="6"/>
      <c r="K39" s="6"/>
      <c r="L39" s="6"/>
      <c r="M39" s="159"/>
      <c r="N39" s="6"/>
      <c r="O39" s="6"/>
      <c r="P39" s="6"/>
      <c r="Q39" s="159"/>
    </row>
    <row r="40" spans="8:17" ht="12.75">
      <c r="H40" s="6"/>
      <c r="I40" s="159"/>
      <c r="J40" s="6"/>
      <c r="K40" s="6"/>
      <c r="L40" s="6"/>
      <c r="M40" s="6"/>
      <c r="N40" s="6"/>
      <c r="O40" s="6"/>
      <c r="P40" s="6"/>
      <c r="Q40" s="6"/>
    </row>
  </sheetData>
  <sheetProtection/>
  <mergeCells count="115">
    <mergeCell ref="S32:V32"/>
    <mergeCell ref="AF29:AI29"/>
    <mergeCell ref="S33:V33"/>
    <mergeCell ref="AF33:AI33"/>
    <mergeCell ref="S34:V34"/>
    <mergeCell ref="AF34:AI34"/>
    <mergeCell ref="S35:V35"/>
    <mergeCell ref="S30:V30"/>
    <mergeCell ref="AF30:AI30"/>
    <mergeCell ref="S31:V31"/>
    <mergeCell ref="AF31:AI31"/>
    <mergeCell ref="S25:V25"/>
    <mergeCell ref="AF25:AI25"/>
    <mergeCell ref="S26:V26"/>
    <mergeCell ref="AF26:AI26"/>
    <mergeCell ref="AF32:AI32"/>
    <mergeCell ref="S27:V27"/>
    <mergeCell ref="AF27:AI27"/>
    <mergeCell ref="S28:V28"/>
    <mergeCell ref="AF28:AI28"/>
    <mergeCell ref="S29:V29"/>
    <mergeCell ref="S21:V21"/>
    <mergeCell ref="AF21:AI21"/>
    <mergeCell ref="S22:V22"/>
    <mergeCell ref="S23:V23"/>
    <mergeCell ref="AF23:AI23"/>
    <mergeCell ref="S24:V24"/>
    <mergeCell ref="AF24:AI24"/>
    <mergeCell ref="S18:V18"/>
    <mergeCell ref="AF18:AI18"/>
    <mergeCell ref="S19:V19"/>
    <mergeCell ref="AF19:AI19"/>
    <mergeCell ref="S20:V20"/>
    <mergeCell ref="AF20:AI20"/>
    <mergeCell ref="S15:V15"/>
    <mergeCell ref="AF15:AI15"/>
    <mergeCell ref="S16:V16"/>
    <mergeCell ref="AF16:AI16"/>
    <mergeCell ref="S17:V17"/>
    <mergeCell ref="AF17:AI17"/>
    <mergeCell ref="S12:V12"/>
    <mergeCell ref="AF12:AI12"/>
    <mergeCell ref="S13:V13"/>
    <mergeCell ref="AF13:AI13"/>
    <mergeCell ref="S14:V14"/>
    <mergeCell ref="AF14:AI14"/>
    <mergeCell ref="AR8:AU8"/>
    <mergeCell ref="W10:X10"/>
    <mergeCell ref="AJ10:AK10"/>
    <mergeCell ref="AN10:AO10"/>
    <mergeCell ref="AR10:AS10"/>
    <mergeCell ref="Y9:Z9"/>
    <mergeCell ref="AC9:AD9"/>
    <mergeCell ref="R7:R11"/>
    <mergeCell ref="S7:V11"/>
    <mergeCell ref="W7:AD7"/>
    <mergeCell ref="AE7:AE11"/>
    <mergeCell ref="AF7:AI11"/>
    <mergeCell ref="AJ7:AU7"/>
    <mergeCell ref="W8:Z8"/>
    <mergeCell ref="AA8:AD8"/>
    <mergeCell ref="AJ8:AM8"/>
    <mergeCell ref="AN8:AQ8"/>
    <mergeCell ref="H9:I9"/>
    <mergeCell ref="L9:M9"/>
    <mergeCell ref="A7:A11"/>
    <mergeCell ref="F7:I8"/>
    <mergeCell ref="F10:G10"/>
    <mergeCell ref="B6:E6"/>
    <mergeCell ref="B35:E35"/>
    <mergeCell ref="B14:E14"/>
    <mergeCell ref="B17:E17"/>
    <mergeCell ref="B19:E19"/>
    <mergeCell ref="B28:E28"/>
    <mergeCell ref="B21:E21"/>
    <mergeCell ref="B23:E23"/>
    <mergeCell ref="B33:E33"/>
    <mergeCell ref="B34:E34"/>
    <mergeCell ref="B16:E16"/>
    <mergeCell ref="N1:Q1"/>
    <mergeCell ref="B7:E11"/>
    <mergeCell ref="J7:Q7"/>
    <mergeCell ref="N10:O10"/>
    <mergeCell ref="A3:Q3"/>
    <mergeCell ref="J10:K10"/>
    <mergeCell ref="P5:Q5"/>
    <mergeCell ref="J8:M8"/>
    <mergeCell ref="N8:Q8"/>
    <mergeCell ref="P9:Q9"/>
    <mergeCell ref="B12:E12"/>
    <mergeCell ref="B25:E25"/>
    <mergeCell ref="B29:E29"/>
    <mergeCell ref="B24:E24"/>
    <mergeCell ref="B22:E22"/>
    <mergeCell ref="B13:E13"/>
    <mergeCell ref="S6:V6"/>
    <mergeCell ref="AF6:AI6"/>
    <mergeCell ref="B31:E31"/>
    <mergeCell ref="B32:E32"/>
    <mergeCell ref="B27:E27"/>
    <mergeCell ref="B20:E20"/>
    <mergeCell ref="B18:E18"/>
    <mergeCell ref="B26:E26"/>
    <mergeCell ref="B15:E15"/>
    <mergeCell ref="B30:E30"/>
    <mergeCell ref="R3:AD3"/>
    <mergeCell ref="R4:AD4"/>
    <mergeCell ref="P2:Q2"/>
    <mergeCell ref="AC2:AD2"/>
    <mergeCell ref="AC5:AD5"/>
    <mergeCell ref="AE3:AU3"/>
    <mergeCell ref="AE4:AU4"/>
    <mergeCell ref="AT2:AU2"/>
    <mergeCell ref="AT5:AU5"/>
    <mergeCell ref="A4:Q4"/>
  </mergeCells>
  <printOptions/>
  <pageMargins left="0.7480314960629921" right="0.7480314960629921" top="0.5118110236220472" bottom="0.4724409448818898" header="0.5118110236220472" footer="0.472440944881889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34">
      <selection activeCell="L64" sqref="L64"/>
    </sheetView>
  </sheetViews>
  <sheetFormatPr defaultColWidth="9.140625" defaultRowHeight="12.75"/>
  <cols>
    <col min="1" max="1" width="3.7109375" style="0" customWidth="1"/>
    <col min="5" max="5" width="19.57421875" style="0" customWidth="1"/>
    <col min="6" max="8" width="9.8515625" style="0" customWidth="1"/>
    <col min="9" max="9" width="6.421875" style="0" customWidth="1"/>
  </cols>
  <sheetData>
    <row r="1" spans="8:10" ht="12.75">
      <c r="H1" s="1430" t="s">
        <v>227</v>
      </c>
      <c r="I1" s="1430"/>
      <c r="J1" s="9"/>
    </row>
    <row r="2" spans="8:10" ht="12.75">
      <c r="H2" s="99"/>
      <c r="I2" s="99"/>
      <c r="J2" s="9"/>
    </row>
    <row r="3" spans="8:10" ht="12.75">
      <c r="H3" s="99"/>
      <c r="I3" s="99"/>
      <c r="J3" s="9"/>
    </row>
    <row r="5" spans="1:9" ht="12.75">
      <c r="A5" s="1097" t="s">
        <v>594</v>
      </c>
      <c r="B5" s="1097"/>
      <c r="C5" s="1097"/>
      <c r="D5" s="1097"/>
      <c r="E5" s="1097"/>
      <c r="F5" s="1097"/>
      <c r="G5" s="1097"/>
      <c r="H5" s="1097"/>
      <c r="I5" s="1097"/>
    </row>
    <row r="6" spans="1:10" ht="37.5" customHeight="1">
      <c r="A6" s="1189" t="s">
        <v>636</v>
      </c>
      <c r="B6" s="1189"/>
      <c r="C6" s="1189"/>
      <c r="D6" s="1189"/>
      <c r="E6" s="1189"/>
      <c r="F6" s="1189"/>
      <c r="G6" s="1189"/>
      <c r="H6" s="1189"/>
      <c r="I6" s="1189"/>
      <c r="J6" s="2"/>
    </row>
    <row r="7" spans="1:9" ht="14.25" customHeight="1">
      <c r="A7" s="480"/>
      <c r="B7" s="480"/>
      <c r="C7" s="480"/>
      <c r="D7" s="480"/>
      <c r="E7" s="480"/>
      <c r="F7" s="480"/>
      <c r="G7" s="480"/>
      <c r="H7" s="1432" t="s">
        <v>4</v>
      </c>
      <c r="I7" s="1432"/>
    </row>
    <row r="8" ht="12.75" hidden="1"/>
    <row r="9" ht="12.75" hidden="1"/>
    <row r="10" spans="1:9" ht="12.75">
      <c r="A10" s="255"/>
      <c r="B10" s="1194" t="s">
        <v>41</v>
      </c>
      <c r="C10" s="1195"/>
      <c r="D10" s="1195"/>
      <c r="E10" s="1196"/>
      <c r="F10" s="208" t="s">
        <v>27</v>
      </c>
      <c r="G10" s="208" t="s">
        <v>28</v>
      </c>
      <c r="H10" s="208" t="s">
        <v>29</v>
      </c>
      <c r="I10" s="208" t="s">
        <v>30</v>
      </c>
    </row>
    <row r="11" spans="1:9" ht="18" customHeight="1">
      <c r="A11" s="1433" t="s">
        <v>471</v>
      </c>
      <c r="B11" s="1309" t="s">
        <v>592</v>
      </c>
      <c r="C11" s="1156"/>
      <c r="D11" s="1156"/>
      <c r="E11" s="1156"/>
      <c r="F11" s="306" t="s">
        <v>263</v>
      </c>
      <c r="G11" s="306" t="s">
        <v>1</v>
      </c>
      <c r="H11" s="1310" t="s">
        <v>2</v>
      </c>
      <c r="I11" s="1369"/>
    </row>
    <row r="12" spans="1:9" ht="18" customHeight="1" thickBot="1">
      <c r="A12" s="1434"/>
      <c r="B12" s="1431"/>
      <c r="C12" s="1104"/>
      <c r="D12" s="1104"/>
      <c r="E12" s="1104"/>
      <c r="F12" s="1100" t="s">
        <v>3</v>
      </c>
      <c r="G12" s="1100"/>
      <c r="H12" s="38" t="s">
        <v>5</v>
      </c>
      <c r="I12" s="464" t="s">
        <v>591</v>
      </c>
    </row>
    <row r="13" spans="1:9" s="26" customFormat="1" ht="18" customHeight="1" thickBot="1">
      <c r="A13" s="1439" t="s">
        <v>635</v>
      </c>
      <c r="B13" s="1422"/>
      <c r="C13" s="1422"/>
      <c r="D13" s="1422"/>
      <c r="E13" s="1423"/>
      <c r="F13" s="515">
        <f>F42+F46+F54+F82+F89+F95+F99+F102+F109</f>
        <v>453562</v>
      </c>
      <c r="G13" s="515">
        <f>G42+G46+G54+G82+G89+G95+G99+G102+G109</f>
        <v>471171</v>
      </c>
      <c r="H13" s="515">
        <f>H42+H46+H54+H82+H89+H95+H99+H102+H109</f>
        <v>37874</v>
      </c>
      <c r="I13" s="514">
        <f>H13/G13*100</f>
        <v>8.038270606637505</v>
      </c>
    </row>
    <row r="14" spans="1:9" ht="13.5" thickBot="1">
      <c r="A14" s="494">
        <v>1</v>
      </c>
      <c r="B14" s="1435" t="s">
        <v>634</v>
      </c>
      <c r="C14" s="1435"/>
      <c r="D14" s="1435"/>
      <c r="E14" s="1435"/>
      <c r="F14" s="493"/>
      <c r="G14" s="493"/>
      <c r="H14" s="493"/>
      <c r="I14" s="492"/>
    </row>
    <row r="15" spans="1:10" ht="12.75">
      <c r="A15" s="491">
        <v>2</v>
      </c>
      <c r="B15" s="1436" t="s">
        <v>633</v>
      </c>
      <c r="C15" s="1437"/>
      <c r="D15" s="1437"/>
      <c r="E15" s="1373"/>
      <c r="F15" s="497">
        <f>290+60+3700+1000</f>
        <v>5050</v>
      </c>
      <c r="G15" s="497">
        <f>350+3700+1000</f>
        <v>5050</v>
      </c>
      <c r="H15" s="513"/>
      <c r="I15" s="495"/>
      <c r="J15" s="488"/>
    </row>
    <row r="16" spans="1:10" ht="12.75">
      <c r="A16" s="89">
        <v>3</v>
      </c>
      <c r="B16" s="1131" t="s">
        <v>632</v>
      </c>
      <c r="C16" s="1132"/>
      <c r="D16" s="1132"/>
      <c r="E16" s="1133"/>
      <c r="F16" s="147">
        <f>352000+70400</f>
        <v>422400</v>
      </c>
      <c r="G16" s="147">
        <f>422400+11188</f>
        <v>433588</v>
      </c>
      <c r="H16" s="147"/>
      <c r="I16" s="512"/>
      <c r="J16" s="488"/>
    </row>
    <row r="17" spans="1:10" ht="12.75">
      <c r="A17" s="89">
        <v>4</v>
      </c>
      <c r="B17" s="1131" t="s">
        <v>631</v>
      </c>
      <c r="C17" s="1132"/>
      <c r="D17" s="1132"/>
      <c r="E17" s="1133"/>
      <c r="F17" s="147"/>
      <c r="G17" s="147">
        <f>550+137</f>
        <v>687</v>
      </c>
      <c r="H17" s="147"/>
      <c r="I17" s="512"/>
      <c r="J17" s="488"/>
    </row>
    <row r="18" spans="1:10" ht="12.75">
      <c r="A18" s="89">
        <v>5</v>
      </c>
      <c r="B18" s="1155" t="s">
        <v>630</v>
      </c>
      <c r="C18" s="1042"/>
      <c r="D18" s="1042"/>
      <c r="E18" s="1043"/>
      <c r="F18" s="147">
        <v>0</v>
      </c>
      <c r="G18" s="147">
        <v>0</v>
      </c>
      <c r="H18" s="147">
        <f>2000+500</f>
        <v>2500</v>
      </c>
      <c r="I18" s="125"/>
      <c r="J18" s="488"/>
    </row>
    <row r="19" spans="1:10" ht="12.75">
      <c r="A19" s="89">
        <v>6</v>
      </c>
      <c r="B19" s="1051" t="s">
        <v>629</v>
      </c>
      <c r="C19" s="1051"/>
      <c r="D19" s="1051"/>
      <c r="E19" s="1051"/>
      <c r="F19" s="147">
        <v>0</v>
      </c>
      <c r="G19" s="147">
        <v>0</v>
      </c>
      <c r="H19" s="147">
        <f>916+186</f>
        <v>1102</v>
      </c>
      <c r="I19" s="512"/>
      <c r="J19" s="488"/>
    </row>
    <row r="20" spans="1:10" ht="12.75">
      <c r="A20" s="89">
        <v>7</v>
      </c>
      <c r="B20" s="1131" t="s">
        <v>628</v>
      </c>
      <c r="C20" s="1132"/>
      <c r="D20" s="1132"/>
      <c r="E20" s="1133"/>
      <c r="F20" s="147"/>
      <c r="G20" s="147"/>
      <c r="H20" s="147">
        <f>60+15</f>
        <v>75</v>
      </c>
      <c r="I20" s="512"/>
      <c r="J20" s="488"/>
    </row>
    <row r="21" spans="1:10" ht="12.75">
      <c r="A21" s="89">
        <v>8</v>
      </c>
      <c r="B21" s="1131" t="s">
        <v>627</v>
      </c>
      <c r="C21" s="1132"/>
      <c r="D21" s="1132"/>
      <c r="E21" s="1133"/>
      <c r="F21" s="147"/>
      <c r="G21" s="147"/>
      <c r="H21" s="147">
        <f>400+100</f>
        <v>500</v>
      </c>
      <c r="I21" s="512"/>
      <c r="J21" s="488"/>
    </row>
    <row r="22" spans="1:10" ht="12.75">
      <c r="A22" s="89">
        <v>9</v>
      </c>
      <c r="B22" s="1131" t="s">
        <v>626</v>
      </c>
      <c r="C22" s="1132"/>
      <c r="D22" s="1132"/>
      <c r="E22" s="1133"/>
      <c r="F22" s="147"/>
      <c r="G22" s="147"/>
      <c r="H22" s="147">
        <f>1750+438</f>
        <v>2188</v>
      </c>
      <c r="I22" s="512"/>
      <c r="J22" s="488"/>
    </row>
    <row r="23" spans="1:10" ht="12.75">
      <c r="A23" s="89">
        <v>10</v>
      </c>
      <c r="B23" s="1131" t="s">
        <v>625</v>
      </c>
      <c r="C23" s="1132"/>
      <c r="D23" s="1132"/>
      <c r="E23" s="1133"/>
      <c r="F23" s="147"/>
      <c r="G23" s="147"/>
      <c r="H23" s="147">
        <f>460+92</f>
        <v>552</v>
      </c>
      <c r="I23" s="512"/>
      <c r="J23" s="488"/>
    </row>
    <row r="24" spans="1:10" ht="12.75">
      <c r="A24" s="89">
        <v>11</v>
      </c>
      <c r="B24" s="1131" t="s">
        <v>624</v>
      </c>
      <c r="C24" s="1132"/>
      <c r="D24" s="1132"/>
      <c r="E24" s="1133"/>
      <c r="F24" s="147"/>
      <c r="G24" s="147"/>
      <c r="H24" s="147">
        <f>2140+428+450+90+35+7+385+96+90+22+1</f>
        <v>3744</v>
      </c>
      <c r="I24" s="512"/>
      <c r="J24" s="488"/>
    </row>
    <row r="25" spans="1:10" ht="12.75">
      <c r="A25" s="89">
        <v>12</v>
      </c>
      <c r="B25" s="1131" t="s">
        <v>623</v>
      </c>
      <c r="C25" s="1132"/>
      <c r="D25" s="1132"/>
      <c r="E25" s="1133"/>
      <c r="F25" s="147"/>
      <c r="G25" s="147"/>
      <c r="H25" s="147">
        <f>3992+798</f>
        <v>4790</v>
      </c>
      <c r="I25" s="512"/>
      <c r="J25" s="488"/>
    </row>
    <row r="26" spans="1:10" ht="12.75">
      <c r="A26" s="89">
        <v>13</v>
      </c>
      <c r="B26" s="1131" t="s">
        <v>622</v>
      </c>
      <c r="C26" s="1132"/>
      <c r="D26" s="1132"/>
      <c r="E26" s="1133"/>
      <c r="F26" s="147"/>
      <c r="G26" s="147"/>
      <c r="H26" s="147">
        <f>870+218</f>
        <v>1088</v>
      </c>
      <c r="I26" s="512"/>
      <c r="J26" s="488"/>
    </row>
    <row r="27" spans="1:10" ht="12.75">
      <c r="A27" s="89">
        <v>14</v>
      </c>
      <c r="B27" s="1131" t="s">
        <v>621</v>
      </c>
      <c r="C27" s="1132"/>
      <c r="D27" s="1132"/>
      <c r="E27" s="1133"/>
      <c r="F27" s="147"/>
      <c r="G27" s="147"/>
      <c r="H27" s="147">
        <f>480+120</f>
        <v>600</v>
      </c>
      <c r="I27" s="512"/>
      <c r="J27" s="488"/>
    </row>
    <row r="28" spans="1:10" ht="12.75">
      <c r="A28" s="89">
        <v>15</v>
      </c>
      <c r="B28" s="1131" t="s">
        <v>620</v>
      </c>
      <c r="C28" s="1132"/>
      <c r="D28" s="1132"/>
      <c r="E28" s="1133"/>
      <c r="F28" s="147"/>
      <c r="G28" s="147"/>
      <c r="H28" s="147">
        <f>350+87</f>
        <v>437</v>
      </c>
      <c r="I28" s="512"/>
      <c r="J28" s="488"/>
    </row>
    <row r="29" spans="1:10" ht="12.75">
      <c r="A29" s="89">
        <v>16</v>
      </c>
      <c r="B29" s="1131" t="s">
        <v>619</v>
      </c>
      <c r="C29" s="1132"/>
      <c r="D29" s="1132"/>
      <c r="E29" s="1133"/>
      <c r="F29" s="147"/>
      <c r="G29" s="147"/>
      <c r="H29" s="147">
        <f>160+40</f>
        <v>200</v>
      </c>
      <c r="I29" s="512"/>
      <c r="J29" s="488"/>
    </row>
    <row r="30" spans="1:10" ht="12.75">
      <c r="A30" s="89">
        <v>17</v>
      </c>
      <c r="B30" s="1131" t="s">
        <v>618</v>
      </c>
      <c r="C30" s="1132"/>
      <c r="D30" s="1132"/>
      <c r="E30" s="1133"/>
      <c r="F30" s="147"/>
      <c r="G30" s="147"/>
      <c r="H30" s="147">
        <f>1500+375</f>
        <v>1875</v>
      </c>
      <c r="I30" s="512"/>
      <c r="J30" s="488"/>
    </row>
    <row r="31" spans="1:10" ht="12.75">
      <c r="A31" s="89">
        <v>18</v>
      </c>
      <c r="B31" s="1131" t="s">
        <v>617</v>
      </c>
      <c r="C31" s="1132"/>
      <c r="D31" s="1132"/>
      <c r="E31" s="1133"/>
      <c r="F31" s="147"/>
      <c r="G31" s="147"/>
      <c r="H31" s="147">
        <f>1807+452+1807+452+100+25+2410+602</f>
        <v>7655</v>
      </c>
      <c r="I31" s="512"/>
      <c r="J31" s="488"/>
    </row>
    <row r="32" spans="1:10" ht="12.75">
      <c r="A32" s="89">
        <v>19</v>
      </c>
      <c r="B32" s="1131" t="s">
        <v>616</v>
      </c>
      <c r="C32" s="1132"/>
      <c r="D32" s="1132"/>
      <c r="E32" s="1133"/>
      <c r="F32" s="147"/>
      <c r="G32" s="147"/>
      <c r="H32" s="147">
        <f>500+147</f>
        <v>647</v>
      </c>
      <c r="I32" s="512"/>
      <c r="J32" s="488"/>
    </row>
    <row r="33" spans="1:10" ht="12.75">
      <c r="A33" s="89">
        <v>20</v>
      </c>
      <c r="B33" s="1131" t="s">
        <v>615</v>
      </c>
      <c r="C33" s="1132"/>
      <c r="D33" s="1132"/>
      <c r="E33" s="1133"/>
      <c r="F33" s="147"/>
      <c r="G33" s="147"/>
      <c r="H33" s="147">
        <f>830+208</f>
        <v>1038</v>
      </c>
      <c r="I33" s="512"/>
      <c r="J33" s="488"/>
    </row>
    <row r="34" spans="1:10" ht="12.75">
      <c r="A34" s="89">
        <v>21</v>
      </c>
      <c r="B34" s="1131" t="s">
        <v>614</v>
      </c>
      <c r="C34" s="1132"/>
      <c r="D34" s="1132"/>
      <c r="E34" s="1133"/>
      <c r="F34" s="147"/>
      <c r="G34" s="147"/>
      <c r="H34" s="147">
        <f>172+34+1022+114+163+28+7+1</f>
        <v>1541</v>
      </c>
      <c r="I34" s="512"/>
      <c r="J34" s="488"/>
    </row>
    <row r="35" spans="1:10" ht="12.75">
      <c r="A35" s="89">
        <v>22</v>
      </c>
      <c r="B35" s="1051" t="s">
        <v>613</v>
      </c>
      <c r="C35" s="1051"/>
      <c r="D35" s="1051"/>
      <c r="E35" s="1051"/>
      <c r="F35" s="487"/>
      <c r="G35" s="487"/>
      <c r="H35" s="119">
        <f>768+192</f>
        <v>960</v>
      </c>
      <c r="I35" s="486"/>
      <c r="J35" s="488"/>
    </row>
    <row r="36" spans="1:10" ht="12.75">
      <c r="A36" s="89">
        <v>23</v>
      </c>
      <c r="B36" s="1155" t="s">
        <v>612</v>
      </c>
      <c r="C36" s="1042"/>
      <c r="D36" s="1042"/>
      <c r="E36" s="1043"/>
      <c r="F36" s="119"/>
      <c r="G36" s="119"/>
      <c r="H36" s="119">
        <f>383+77</f>
        <v>460</v>
      </c>
      <c r="I36" s="486"/>
      <c r="J36" s="488"/>
    </row>
    <row r="37" spans="1:10" ht="12.75">
      <c r="A37" s="89">
        <v>24</v>
      </c>
      <c r="B37" s="1051" t="s">
        <v>611</v>
      </c>
      <c r="C37" s="1051"/>
      <c r="D37" s="1051"/>
      <c r="E37" s="1051"/>
      <c r="F37" s="119"/>
      <c r="G37" s="119"/>
      <c r="H37" s="119">
        <f>260+52+35+7</f>
        <v>354</v>
      </c>
      <c r="I37" s="486"/>
      <c r="J37" s="488"/>
    </row>
    <row r="38" spans="1:9" ht="12.75">
      <c r="A38" s="89">
        <v>25</v>
      </c>
      <c r="B38" s="1155" t="s">
        <v>610</v>
      </c>
      <c r="C38" s="1042"/>
      <c r="D38" s="1042"/>
      <c r="E38" s="1043"/>
      <c r="F38" s="119"/>
      <c r="G38" s="119"/>
      <c r="H38" s="119">
        <v>215</v>
      </c>
      <c r="I38" s="486"/>
    </row>
    <row r="39" spans="1:9" ht="12.75">
      <c r="A39" s="89">
        <v>26</v>
      </c>
      <c r="B39" s="1051" t="s">
        <v>609</v>
      </c>
      <c r="C39" s="1051"/>
      <c r="D39" s="1051"/>
      <c r="E39" s="1051"/>
      <c r="F39" s="119"/>
      <c r="G39" s="119"/>
      <c r="H39" s="119">
        <f>32+8</f>
        <v>40</v>
      </c>
      <c r="I39" s="486"/>
    </row>
    <row r="40" spans="1:9" ht="12.75">
      <c r="A40" s="89">
        <v>27</v>
      </c>
      <c r="B40" s="1155" t="s">
        <v>608</v>
      </c>
      <c r="C40" s="1042"/>
      <c r="D40" s="1042"/>
      <c r="E40" s="1043"/>
      <c r="F40" s="119"/>
      <c r="G40" s="119"/>
      <c r="H40" s="119">
        <v>236</v>
      </c>
      <c r="I40" s="486"/>
    </row>
    <row r="41" spans="1:9" ht="12.75">
      <c r="A41" s="89">
        <v>28</v>
      </c>
      <c r="B41" s="1131" t="s">
        <v>607</v>
      </c>
      <c r="C41" s="1132"/>
      <c r="D41" s="1132"/>
      <c r="E41" s="1133"/>
      <c r="F41" s="119">
        <f>3330+670</f>
        <v>4000</v>
      </c>
      <c r="G41" s="119">
        <f>3330+670</f>
        <v>4000</v>
      </c>
      <c r="H41" s="487"/>
      <c r="I41" s="486"/>
    </row>
    <row r="42" spans="1:9" ht="11.25" customHeight="1" thickBot="1">
      <c r="A42" s="485">
        <v>29</v>
      </c>
      <c r="B42" s="1427" t="s">
        <v>606</v>
      </c>
      <c r="C42" s="1428"/>
      <c r="D42" s="1428"/>
      <c r="E42" s="1429"/>
      <c r="F42" s="484">
        <f>SUM(F15:F41)</f>
        <v>431450</v>
      </c>
      <c r="G42" s="484">
        <f>SUM(G15:G41)</f>
        <v>443325</v>
      </c>
      <c r="H42" s="484">
        <f>SUM(H15:H41)</f>
        <v>32797</v>
      </c>
      <c r="I42" s="483">
        <f>H42/G42*100</f>
        <v>7.397958608244516</v>
      </c>
    </row>
    <row r="43" spans="1:9" ht="12" customHeight="1" thickBot="1">
      <c r="A43" s="494">
        <v>30</v>
      </c>
      <c r="B43" s="1424" t="s">
        <v>605</v>
      </c>
      <c r="C43" s="1425"/>
      <c r="D43" s="1425"/>
      <c r="E43" s="1426"/>
      <c r="F43" s="504">
        <v>0</v>
      </c>
      <c r="G43" s="504"/>
      <c r="H43" s="504"/>
      <c r="I43" s="492"/>
    </row>
    <row r="44" spans="1:9" ht="11.25" customHeight="1">
      <c r="A44" s="375">
        <v>31</v>
      </c>
      <c r="B44" s="1363" t="s">
        <v>604</v>
      </c>
      <c r="C44" s="1364"/>
      <c r="D44" s="1364"/>
      <c r="E44" s="1438"/>
      <c r="F44" s="40"/>
      <c r="G44" s="40"/>
      <c r="H44" s="40">
        <f>62+12</f>
        <v>74</v>
      </c>
      <c r="I44" s="489"/>
    </row>
    <row r="45" spans="1:9" ht="11.25" customHeight="1">
      <c r="A45" s="291">
        <v>32</v>
      </c>
      <c r="B45" s="1131" t="s">
        <v>603</v>
      </c>
      <c r="C45" s="1132"/>
      <c r="D45" s="1132"/>
      <c r="E45" s="1133"/>
      <c r="F45" s="147">
        <f>5000+1000</f>
        <v>6000</v>
      </c>
      <c r="G45" s="147">
        <v>6000</v>
      </c>
      <c r="H45" s="147"/>
      <c r="I45" s="512"/>
    </row>
    <row r="46" spans="1:9" ht="11.25" customHeight="1" thickBot="1">
      <c r="A46" s="485">
        <v>33</v>
      </c>
      <c r="B46" s="1427" t="s">
        <v>602</v>
      </c>
      <c r="C46" s="1428"/>
      <c r="D46" s="1428"/>
      <c r="E46" s="1429"/>
      <c r="F46" s="484">
        <f>SUM(F43:F45)</f>
        <v>6000</v>
      </c>
      <c r="G46" s="484">
        <f>SUM(G43:G45)</f>
        <v>6000</v>
      </c>
      <c r="H46" s="484">
        <f>SUM(H43:H44)</f>
        <v>74</v>
      </c>
      <c r="I46" s="483">
        <f>H46/G46*100</f>
        <v>1.2333333333333334</v>
      </c>
    </row>
    <row r="47" spans="1:9" ht="11.25" customHeight="1" thickBot="1">
      <c r="A47" s="494">
        <v>34</v>
      </c>
      <c r="B47" s="1424" t="s">
        <v>601</v>
      </c>
      <c r="C47" s="1425"/>
      <c r="D47" s="1425"/>
      <c r="E47" s="1426"/>
      <c r="F47" s="507"/>
      <c r="G47" s="507"/>
      <c r="H47" s="507"/>
      <c r="I47" s="503"/>
    </row>
    <row r="48" spans="1:9" ht="11.25" customHeight="1">
      <c r="A48" s="491">
        <v>35</v>
      </c>
      <c r="B48" s="1436" t="s">
        <v>600</v>
      </c>
      <c r="C48" s="1437"/>
      <c r="D48" s="1437"/>
      <c r="E48" s="1373"/>
      <c r="F48" s="497"/>
      <c r="G48" s="497">
        <f>530+134</f>
        <v>664</v>
      </c>
      <c r="H48" s="497"/>
      <c r="I48" s="502"/>
    </row>
    <row r="49" spans="1:9" ht="11.25" customHeight="1">
      <c r="A49" s="89">
        <v>36</v>
      </c>
      <c r="B49" s="1051" t="s">
        <v>599</v>
      </c>
      <c r="C49" s="1051"/>
      <c r="D49" s="1051"/>
      <c r="E49" s="1051"/>
      <c r="F49" s="147">
        <v>0</v>
      </c>
      <c r="G49" s="147"/>
      <c r="H49" s="147">
        <f>23+6</f>
        <v>29</v>
      </c>
      <c r="I49" s="125"/>
    </row>
    <row r="50" spans="1:9" ht="11.25" customHeight="1">
      <c r="A50" s="89">
        <v>37</v>
      </c>
      <c r="B50" s="1131" t="s">
        <v>598</v>
      </c>
      <c r="C50" s="1132"/>
      <c r="D50" s="1132"/>
      <c r="E50" s="1133"/>
      <c r="F50" s="147">
        <f>308+62</f>
        <v>370</v>
      </c>
      <c r="G50" s="147">
        <v>370</v>
      </c>
      <c r="H50" s="147"/>
      <c r="I50" s="125"/>
    </row>
    <row r="51" spans="1:9" ht="11.25" customHeight="1">
      <c r="A51" s="89">
        <v>38</v>
      </c>
      <c r="B51" s="1131" t="s">
        <v>597</v>
      </c>
      <c r="C51" s="1132"/>
      <c r="D51" s="1132"/>
      <c r="E51" s="1133"/>
      <c r="F51" s="147"/>
      <c r="G51" s="147"/>
      <c r="H51" s="147">
        <f>162+40</f>
        <v>202</v>
      </c>
      <c r="I51" s="125"/>
    </row>
    <row r="52" spans="1:9" ht="12" customHeight="1">
      <c r="A52" s="291">
        <v>39</v>
      </c>
      <c r="B52" s="1131" t="s">
        <v>596</v>
      </c>
      <c r="C52" s="1132"/>
      <c r="D52" s="1132"/>
      <c r="E52" s="1133"/>
      <c r="F52" s="147"/>
      <c r="G52" s="147"/>
      <c r="H52" s="147">
        <f>57+12</f>
        <v>69</v>
      </c>
      <c r="I52" s="125"/>
    </row>
    <row r="53" spans="1:10" ht="11.25" customHeight="1">
      <c r="A53" s="291">
        <v>40</v>
      </c>
      <c r="B53" s="1131" t="s">
        <v>581</v>
      </c>
      <c r="C53" s="1132"/>
      <c r="D53" s="1132"/>
      <c r="E53" s="1133"/>
      <c r="F53" s="147"/>
      <c r="G53" s="147">
        <f>800+200</f>
        <v>1000</v>
      </c>
      <c r="H53" s="147"/>
      <c r="I53" s="125"/>
      <c r="J53" s="488"/>
    </row>
    <row r="54" spans="1:10" ht="13.5" customHeight="1">
      <c r="A54" s="511">
        <v>41</v>
      </c>
      <c r="B54" s="1440" t="s">
        <v>595</v>
      </c>
      <c r="C54" s="1440"/>
      <c r="D54" s="1440"/>
      <c r="E54" s="1440"/>
      <c r="F54" s="484">
        <f>SUM(F49:F53)</f>
        <v>370</v>
      </c>
      <c r="G54" s="484">
        <f>SUM(G48:G53)</f>
        <v>2034</v>
      </c>
      <c r="H54" s="484">
        <f>SUM(H49:H53)</f>
        <v>300</v>
      </c>
      <c r="I54" s="505">
        <f>H54/G54*100</f>
        <v>14.749262536873156</v>
      </c>
      <c r="J54" s="488"/>
    </row>
    <row r="55" spans="1:10" ht="13.5" customHeight="1">
      <c r="A55" s="510"/>
      <c r="B55" s="509"/>
      <c r="C55" s="509"/>
      <c r="D55" s="509"/>
      <c r="E55" s="509"/>
      <c r="F55" s="508"/>
      <c r="G55" s="508"/>
      <c r="H55" s="508"/>
      <c r="I55" s="138"/>
      <c r="J55" s="488"/>
    </row>
    <row r="56" spans="1:10" ht="13.5" customHeight="1">
      <c r="A56" s="510"/>
      <c r="B56" s="509"/>
      <c r="C56" s="509"/>
      <c r="D56" s="509"/>
      <c r="E56" s="509"/>
      <c r="F56" s="508"/>
      <c r="G56" s="508"/>
      <c r="H56" s="508"/>
      <c r="I56" s="138"/>
      <c r="J56" s="488"/>
    </row>
    <row r="57" spans="1:10" ht="13.5" customHeight="1">
      <c r="A57" s="510"/>
      <c r="B57" s="509"/>
      <c r="C57" s="509"/>
      <c r="D57" s="509"/>
      <c r="E57" s="509"/>
      <c r="F57" s="508"/>
      <c r="G57" s="508"/>
      <c r="H57" s="508"/>
      <c r="I57" s="138"/>
      <c r="J57" s="488"/>
    </row>
    <row r="58" spans="1:10" ht="13.5" customHeight="1">
      <c r="A58" s="510"/>
      <c r="B58" s="509"/>
      <c r="C58" s="509"/>
      <c r="D58" s="509"/>
      <c r="E58" s="509"/>
      <c r="F58" s="508"/>
      <c r="G58" s="508"/>
      <c r="H58" s="508"/>
      <c r="I58" s="138"/>
      <c r="J58" s="488"/>
    </row>
    <row r="59" spans="1:10" ht="13.5" customHeight="1">
      <c r="A59" s="510"/>
      <c r="B59" s="509"/>
      <c r="C59" s="509"/>
      <c r="D59" s="509"/>
      <c r="E59" s="509"/>
      <c r="F59" s="508"/>
      <c r="G59" s="508"/>
      <c r="H59" s="508"/>
      <c r="I59" s="138"/>
      <c r="J59" s="488"/>
    </row>
    <row r="60" spans="1:10" ht="13.5" customHeight="1">
      <c r="A60" s="510"/>
      <c r="B60" s="509"/>
      <c r="C60" s="509"/>
      <c r="D60" s="509"/>
      <c r="E60" s="509"/>
      <c r="F60" s="508"/>
      <c r="G60" s="508"/>
      <c r="H60" s="508"/>
      <c r="I60" s="138" t="s">
        <v>179</v>
      </c>
      <c r="J60" s="488"/>
    </row>
    <row r="61" spans="1:10" ht="13.5" customHeight="1">
      <c r="A61" s="1097" t="s">
        <v>594</v>
      </c>
      <c r="B61" s="1097"/>
      <c r="C61" s="1097"/>
      <c r="D61" s="1097"/>
      <c r="E61" s="1097"/>
      <c r="F61" s="1097"/>
      <c r="G61" s="1097"/>
      <c r="H61" s="1097"/>
      <c r="I61" s="1097"/>
      <c r="J61" s="488"/>
    </row>
    <row r="62" spans="1:10" ht="13.5" customHeight="1">
      <c r="A62" s="1441" t="s">
        <v>593</v>
      </c>
      <c r="B62" s="1441"/>
      <c r="C62" s="1441"/>
      <c r="D62" s="1441"/>
      <c r="E62" s="1441"/>
      <c r="F62" s="1441"/>
      <c r="G62" s="1441"/>
      <c r="H62" s="1441"/>
      <c r="I62" s="1441"/>
      <c r="J62" s="488"/>
    </row>
    <row r="63" spans="1:10" ht="13.5" customHeight="1">
      <c r="A63" s="1441"/>
      <c r="B63" s="1441"/>
      <c r="C63" s="1441"/>
      <c r="D63" s="1441"/>
      <c r="E63" s="1441"/>
      <c r="F63" s="1441"/>
      <c r="G63" s="1441"/>
      <c r="H63" s="1441"/>
      <c r="I63" s="1441"/>
      <c r="J63" s="488"/>
    </row>
    <row r="64" spans="1:10" ht="13.5" customHeight="1">
      <c r="A64" s="510"/>
      <c r="B64" s="509"/>
      <c r="C64" s="509"/>
      <c r="D64" s="509"/>
      <c r="E64" s="509"/>
      <c r="F64" s="508"/>
      <c r="G64" s="508"/>
      <c r="H64" s="508"/>
      <c r="J64" s="488"/>
    </row>
    <row r="65" spans="1:10" ht="13.5" customHeight="1">
      <c r="A65" s="255"/>
      <c r="B65" s="1194" t="s">
        <v>41</v>
      </c>
      <c r="C65" s="1195"/>
      <c r="D65" s="1195"/>
      <c r="E65" s="1196"/>
      <c r="F65" s="208" t="s">
        <v>27</v>
      </c>
      <c r="G65" s="208" t="s">
        <v>28</v>
      </c>
      <c r="H65" s="208" t="s">
        <v>29</v>
      </c>
      <c r="I65" s="208" t="s">
        <v>30</v>
      </c>
      <c r="J65" s="488"/>
    </row>
    <row r="66" spans="1:10" ht="13.5" customHeight="1">
      <c r="A66" s="1433" t="s">
        <v>471</v>
      </c>
      <c r="B66" s="1309" t="s">
        <v>592</v>
      </c>
      <c r="C66" s="1156"/>
      <c r="D66" s="1156"/>
      <c r="E66" s="1156"/>
      <c r="F66" s="306" t="s">
        <v>263</v>
      </c>
      <c r="G66" s="306" t="s">
        <v>1</v>
      </c>
      <c r="H66" s="1310" t="s">
        <v>2</v>
      </c>
      <c r="I66" s="1369"/>
      <c r="J66" s="488"/>
    </row>
    <row r="67" spans="1:10" ht="13.5" customHeight="1" thickBot="1">
      <c r="A67" s="1434"/>
      <c r="B67" s="1431"/>
      <c r="C67" s="1104"/>
      <c r="D67" s="1104"/>
      <c r="E67" s="1104"/>
      <c r="F67" s="1100" t="s">
        <v>3</v>
      </c>
      <c r="G67" s="1100"/>
      <c r="H67" s="38" t="s">
        <v>5</v>
      </c>
      <c r="I67" s="464" t="s">
        <v>591</v>
      </c>
      <c r="J67" s="488"/>
    </row>
    <row r="68" spans="1:9" ht="12" customHeight="1" thickBot="1">
      <c r="A68" s="494">
        <v>42</v>
      </c>
      <c r="B68" s="1424" t="s">
        <v>590</v>
      </c>
      <c r="C68" s="1425"/>
      <c r="D68" s="1425"/>
      <c r="E68" s="1426"/>
      <c r="F68" s="493"/>
      <c r="G68" s="493"/>
      <c r="H68" s="493"/>
      <c r="I68" s="492"/>
    </row>
    <row r="69" spans="1:9" ht="12" customHeight="1">
      <c r="A69" s="491">
        <v>43</v>
      </c>
      <c r="B69" s="1436" t="s">
        <v>589</v>
      </c>
      <c r="C69" s="1437"/>
      <c r="D69" s="1437"/>
      <c r="E69" s="1373"/>
      <c r="F69" s="490"/>
      <c r="G69" s="40">
        <f>761+190</f>
        <v>951</v>
      </c>
      <c r="H69" s="40"/>
      <c r="I69" s="489"/>
    </row>
    <row r="70" spans="1:10" ht="12" customHeight="1">
      <c r="A70" s="89">
        <v>44</v>
      </c>
      <c r="B70" s="1155" t="s">
        <v>588</v>
      </c>
      <c r="C70" s="1042"/>
      <c r="D70" s="1042"/>
      <c r="E70" s="1043"/>
      <c r="F70" s="487"/>
      <c r="G70" s="487"/>
      <c r="H70" s="119">
        <f>64+12</f>
        <v>76</v>
      </c>
      <c r="I70" s="486"/>
      <c r="J70" s="488"/>
    </row>
    <row r="71" spans="1:10" ht="12" customHeight="1">
      <c r="A71" s="491">
        <v>45</v>
      </c>
      <c r="B71" s="1155" t="s">
        <v>587</v>
      </c>
      <c r="C71" s="1042"/>
      <c r="D71" s="1042"/>
      <c r="E71" s="1043"/>
      <c r="F71" s="487"/>
      <c r="G71" s="487"/>
      <c r="H71" s="119">
        <f>90+18</f>
        <v>108</v>
      </c>
      <c r="I71" s="486"/>
      <c r="J71" s="488"/>
    </row>
    <row r="72" spans="1:10" ht="12" customHeight="1">
      <c r="A72" s="89">
        <v>46</v>
      </c>
      <c r="B72" s="1155" t="s">
        <v>586</v>
      </c>
      <c r="C72" s="1042"/>
      <c r="D72" s="1042"/>
      <c r="E72" s="1043"/>
      <c r="F72" s="487"/>
      <c r="G72" s="487"/>
      <c r="H72" s="119">
        <f>117+23</f>
        <v>140</v>
      </c>
      <c r="I72" s="486"/>
      <c r="J72" s="488"/>
    </row>
    <row r="73" spans="1:10" ht="12" customHeight="1">
      <c r="A73" s="491">
        <v>47</v>
      </c>
      <c r="B73" s="1155" t="s">
        <v>585</v>
      </c>
      <c r="C73" s="1042"/>
      <c r="D73" s="1042"/>
      <c r="E73" s="1043"/>
      <c r="F73" s="487"/>
      <c r="G73" s="487"/>
      <c r="H73" s="119">
        <f>9+2</f>
        <v>11</v>
      </c>
      <c r="I73" s="486"/>
      <c r="J73" s="488"/>
    </row>
    <row r="74" spans="1:10" ht="12" customHeight="1">
      <c r="A74" s="89">
        <v>48</v>
      </c>
      <c r="B74" s="1131" t="s">
        <v>584</v>
      </c>
      <c r="C74" s="1132"/>
      <c r="D74" s="1132"/>
      <c r="E74" s="1133"/>
      <c r="F74" s="487"/>
      <c r="G74" s="119"/>
      <c r="H74" s="119">
        <f>31+6</f>
        <v>37</v>
      </c>
      <c r="I74" s="486"/>
      <c r="J74" s="488"/>
    </row>
    <row r="75" spans="1:9" ht="12" customHeight="1">
      <c r="A75" s="491">
        <v>49</v>
      </c>
      <c r="B75" s="1131" t="s">
        <v>583</v>
      </c>
      <c r="C75" s="1132"/>
      <c r="D75" s="1132"/>
      <c r="E75" s="1133"/>
      <c r="F75" s="119">
        <f>310+65</f>
        <v>375</v>
      </c>
      <c r="G75" s="119">
        <f>310+65</f>
        <v>375</v>
      </c>
      <c r="H75" s="119"/>
      <c r="I75" s="486"/>
    </row>
    <row r="76" spans="1:9" ht="12" customHeight="1">
      <c r="A76" s="89">
        <v>50</v>
      </c>
      <c r="B76" s="1131" t="s">
        <v>582</v>
      </c>
      <c r="C76" s="1132"/>
      <c r="D76" s="1132"/>
      <c r="E76" s="1133"/>
      <c r="F76" s="487"/>
      <c r="G76" s="119"/>
      <c r="H76" s="119">
        <f>63+13</f>
        <v>76</v>
      </c>
      <c r="I76" s="486"/>
    </row>
    <row r="77" spans="1:9" ht="12.75" customHeight="1">
      <c r="A77" s="491">
        <v>51</v>
      </c>
      <c r="B77" s="1131" t="s">
        <v>581</v>
      </c>
      <c r="C77" s="1132"/>
      <c r="D77" s="1132"/>
      <c r="E77" s="1133"/>
      <c r="F77" s="487"/>
      <c r="G77" s="119">
        <f>731-74+183-18</f>
        <v>822</v>
      </c>
      <c r="H77" s="119"/>
      <c r="I77" s="486"/>
    </row>
    <row r="78" spans="1:9" ht="12" customHeight="1">
      <c r="A78" s="89">
        <v>52</v>
      </c>
      <c r="B78" s="1131" t="s">
        <v>580</v>
      </c>
      <c r="C78" s="1132"/>
      <c r="D78" s="1132"/>
      <c r="E78" s="1133"/>
      <c r="F78" s="487"/>
      <c r="G78" s="119"/>
      <c r="H78" s="119">
        <f>176+44</f>
        <v>220</v>
      </c>
      <c r="I78" s="486"/>
    </row>
    <row r="79" spans="1:9" ht="12" customHeight="1">
      <c r="A79" s="491">
        <v>53</v>
      </c>
      <c r="B79" s="1131" t="s">
        <v>579</v>
      </c>
      <c r="C79" s="1132"/>
      <c r="D79" s="1132"/>
      <c r="E79" s="1133"/>
      <c r="F79" s="487"/>
      <c r="G79" s="119"/>
      <c r="H79" s="119">
        <f>208+52</f>
        <v>260</v>
      </c>
      <c r="I79" s="486"/>
    </row>
    <row r="80" spans="1:9" ht="12" customHeight="1">
      <c r="A80" s="89">
        <v>54</v>
      </c>
      <c r="B80" s="1131" t="s">
        <v>578</v>
      </c>
      <c r="C80" s="1132"/>
      <c r="D80" s="1132"/>
      <c r="E80" s="1133"/>
      <c r="F80" s="487"/>
      <c r="G80" s="119"/>
      <c r="H80" s="119">
        <f>126+31</f>
        <v>157</v>
      </c>
      <c r="I80" s="486"/>
    </row>
    <row r="81" spans="1:9" ht="12" customHeight="1">
      <c r="A81" s="491">
        <v>55</v>
      </c>
      <c r="B81" s="1131" t="s">
        <v>577</v>
      </c>
      <c r="C81" s="1132"/>
      <c r="D81" s="1132"/>
      <c r="E81" s="1133"/>
      <c r="F81" s="487"/>
      <c r="G81" s="119"/>
      <c r="H81" s="119">
        <v>82</v>
      </c>
      <c r="I81" s="486"/>
    </row>
    <row r="82" spans="1:9" ht="12" customHeight="1" thickBot="1">
      <c r="A82" s="485">
        <v>56</v>
      </c>
      <c r="B82" s="1427" t="s">
        <v>576</v>
      </c>
      <c r="C82" s="1428"/>
      <c r="D82" s="1428"/>
      <c r="E82" s="1429"/>
      <c r="F82" s="484">
        <f>SUM(F70:F80)</f>
        <v>375</v>
      </c>
      <c r="G82" s="484">
        <f>SUM(G69:G81)</f>
        <v>2148</v>
      </c>
      <c r="H82" s="484">
        <f>SUM(H70:H81)</f>
        <v>1167</v>
      </c>
      <c r="I82" s="483">
        <f>H82/G82*100</f>
        <v>54.329608938547494</v>
      </c>
    </row>
    <row r="83" spans="1:9" ht="12" customHeight="1" thickBot="1">
      <c r="A83" s="494">
        <v>57</v>
      </c>
      <c r="B83" s="1424" t="s">
        <v>575</v>
      </c>
      <c r="C83" s="1425"/>
      <c r="D83" s="1425"/>
      <c r="E83" s="1426"/>
      <c r="F83" s="498"/>
      <c r="G83" s="498"/>
      <c r="H83" s="498"/>
      <c r="I83" s="492"/>
    </row>
    <row r="84" spans="1:9" ht="12" customHeight="1">
      <c r="A84" s="491">
        <v>58</v>
      </c>
      <c r="B84" s="1436" t="s">
        <v>574</v>
      </c>
      <c r="C84" s="1437"/>
      <c r="D84" s="1437"/>
      <c r="E84" s="1373"/>
      <c r="F84" s="40">
        <f>208+42</f>
        <v>250</v>
      </c>
      <c r="G84" s="40">
        <v>250</v>
      </c>
      <c r="H84" s="490"/>
      <c r="I84" s="489"/>
    </row>
    <row r="85" spans="1:9" ht="12" customHeight="1">
      <c r="A85" s="89">
        <v>59</v>
      </c>
      <c r="B85" s="1131" t="s">
        <v>573</v>
      </c>
      <c r="C85" s="1132"/>
      <c r="D85" s="1132"/>
      <c r="E85" s="1133"/>
      <c r="F85" s="487"/>
      <c r="G85" s="487"/>
      <c r="H85" s="119">
        <f>31+6</f>
        <v>37</v>
      </c>
      <c r="I85" s="486"/>
    </row>
    <row r="86" spans="1:9" ht="12" customHeight="1">
      <c r="A86" s="491">
        <v>60</v>
      </c>
      <c r="B86" s="1155" t="s">
        <v>572</v>
      </c>
      <c r="C86" s="1042"/>
      <c r="D86" s="1042"/>
      <c r="E86" s="1043"/>
      <c r="F86" s="119"/>
      <c r="G86" s="119"/>
      <c r="H86" s="119">
        <f>167+42</f>
        <v>209</v>
      </c>
      <c r="I86" s="486"/>
    </row>
    <row r="87" spans="1:9" ht="12" customHeight="1">
      <c r="A87" s="89">
        <v>61</v>
      </c>
      <c r="B87" s="1155" t="s">
        <v>571</v>
      </c>
      <c r="C87" s="1042"/>
      <c r="D87" s="1042"/>
      <c r="E87" s="1043"/>
      <c r="F87" s="119"/>
      <c r="G87" s="119">
        <f>417+104</f>
        <v>521</v>
      </c>
      <c r="H87" s="119"/>
      <c r="I87" s="486"/>
    </row>
    <row r="88" spans="1:9" ht="12" customHeight="1">
      <c r="A88" s="491">
        <v>62</v>
      </c>
      <c r="B88" s="1155" t="s">
        <v>570</v>
      </c>
      <c r="C88" s="1042"/>
      <c r="D88" s="1042"/>
      <c r="E88" s="1043"/>
      <c r="F88" s="119"/>
      <c r="G88" s="119"/>
      <c r="H88" s="119">
        <f>264+66</f>
        <v>330</v>
      </c>
      <c r="I88" s="486"/>
    </row>
    <row r="89" spans="1:9" ht="12" customHeight="1" thickBot="1">
      <c r="A89" s="485">
        <v>63</v>
      </c>
      <c r="B89" s="1427" t="s">
        <v>569</v>
      </c>
      <c r="C89" s="1428"/>
      <c r="D89" s="1428"/>
      <c r="E89" s="1429"/>
      <c r="F89" s="484">
        <f>SUM(F84:F88)</f>
        <v>250</v>
      </c>
      <c r="G89" s="484">
        <f>SUM(G84:G88)</f>
        <v>771</v>
      </c>
      <c r="H89" s="484">
        <f>SUM(H84:H88)</f>
        <v>576</v>
      </c>
      <c r="I89" s="483">
        <f>H89/G89*100</f>
        <v>74.70817120622569</v>
      </c>
    </row>
    <row r="90" spans="1:9" ht="12" customHeight="1" thickBot="1">
      <c r="A90" s="494">
        <v>64</v>
      </c>
      <c r="B90" s="1424" t="s">
        <v>477</v>
      </c>
      <c r="C90" s="1425"/>
      <c r="D90" s="1425"/>
      <c r="E90" s="1426"/>
      <c r="F90" s="507"/>
      <c r="G90" s="507"/>
      <c r="H90" s="507"/>
      <c r="I90" s="503"/>
    </row>
    <row r="91" spans="1:9" ht="12" customHeight="1">
      <c r="A91" s="491">
        <v>65</v>
      </c>
      <c r="B91" s="1436" t="s">
        <v>568</v>
      </c>
      <c r="C91" s="1437"/>
      <c r="D91" s="1437"/>
      <c r="E91" s="1373"/>
      <c r="F91" s="497"/>
      <c r="G91" s="497">
        <f>281+70</f>
        <v>351</v>
      </c>
      <c r="H91" s="497"/>
      <c r="I91" s="506"/>
    </row>
    <row r="92" spans="1:9" ht="12" customHeight="1">
      <c r="A92" s="89">
        <v>66</v>
      </c>
      <c r="B92" s="1131" t="s">
        <v>567</v>
      </c>
      <c r="C92" s="1132"/>
      <c r="D92" s="1132"/>
      <c r="E92" s="1133"/>
      <c r="F92" s="147">
        <v>0</v>
      </c>
      <c r="G92" s="147">
        <v>0</v>
      </c>
      <c r="H92" s="147">
        <f>15+3</f>
        <v>18</v>
      </c>
      <c r="I92" s="125"/>
    </row>
    <row r="93" spans="1:9" ht="12" customHeight="1">
      <c r="A93" s="89">
        <v>67</v>
      </c>
      <c r="B93" s="1131" t="s">
        <v>566</v>
      </c>
      <c r="C93" s="1132"/>
      <c r="D93" s="1132"/>
      <c r="E93" s="1133"/>
      <c r="F93" s="147"/>
      <c r="G93" s="147"/>
      <c r="H93" s="147">
        <f>60+15+1</f>
        <v>76</v>
      </c>
      <c r="I93" s="167"/>
    </row>
    <row r="94" spans="1:9" ht="12" customHeight="1">
      <c r="A94" s="89">
        <v>68</v>
      </c>
      <c r="B94" s="1051" t="s">
        <v>565</v>
      </c>
      <c r="C94" s="1051"/>
      <c r="D94" s="1051"/>
      <c r="E94" s="1051"/>
      <c r="F94" s="255"/>
      <c r="G94" s="119">
        <f>247+62</f>
        <v>309</v>
      </c>
      <c r="H94" s="255"/>
      <c r="I94" s="255"/>
    </row>
    <row r="95" spans="1:9" ht="12" customHeight="1" thickBot="1">
      <c r="A95" s="485">
        <v>69</v>
      </c>
      <c r="B95" s="1440" t="s">
        <v>564</v>
      </c>
      <c r="C95" s="1440"/>
      <c r="D95" s="1440"/>
      <c r="E95" s="1440"/>
      <c r="F95" s="484">
        <f>SUM(F92:F94)</f>
        <v>0</v>
      </c>
      <c r="G95" s="484">
        <f>SUM(G91:G94)</f>
        <v>660</v>
      </c>
      <c r="H95" s="484">
        <f>SUM(H91:H94)</f>
        <v>94</v>
      </c>
      <c r="I95" s="505">
        <f>H95/G95*100</f>
        <v>14.242424242424242</v>
      </c>
    </row>
    <row r="96" spans="1:10" ht="11.25" customHeight="1" thickBot="1">
      <c r="A96" s="494">
        <v>70</v>
      </c>
      <c r="B96" s="1424" t="s">
        <v>476</v>
      </c>
      <c r="C96" s="1425"/>
      <c r="D96" s="1425"/>
      <c r="E96" s="1426"/>
      <c r="F96" s="504"/>
      <c r="G96" s="504"/>
      <c r="H96" s="504"/>
      <c r="I96" s="503"/>
      <c r="J96" s="488"/>
    </row>
    <row r="97" spans="1:9" ht="12.75">
      <c r="A97" s="491">
        <v>71</v>
      </c>
      <c r="B97" s="1436" t="s">
        <v>563</v>
      </c>
      <c r="C97" s="1437"/>
      <c r="D97" s="1437"/>
      <c r="E97" s="1373"/>
      <c r="F97" s="497">
        <v>0</v>
      </c>
      <c r="G97" s="497">
        <v>0</v>
      </c>
      <c r="H97" s="497">
        <f>5+1</f>
        <v>6</v>
      </c>
      <c r="I97" s="502"/>
    </row>
    <row r="98" spans="1:9" ht="11.25" customHeight="1">
      <c r="A98" s="89">
        <v>72</v>
      </c>
      <c r="B98" s="1131" t="s">
        <v>562</v>
      </c>
      <c r="C98" s="1132"/>
      <c r="D98" s="1132"/>
      <c r="E98" s="1133"/>
      <c r="F98" s="147">
        <v>0</v>
      </c>
      <c r="G98" s="147">
        <v>0</v>
      </c>
      <c r="H98" s="147">
        <f>80+20</f>
        <v>100</v>
      </c>
      <c r="I98" s="125">
        <v>0</v>
      </c>
    </row>
    <row r="99" spans="1:10" ht="11.25" customHeight="1" thickBot="1">
      <c r="A99" s="485">
        <v>73</v>
      </c>
      <c r="B99" s="501" t="s">
        <v>561</v>
      </c>
      <c r="C99" s="500"/>
      <c r="D99" s="500"/>
      <c r="E99" s="499"/>
      <c r="F99" s="484">
        <f>SUM(F97:F98)</f>
        <v>0</v>
      </c>
      <c r="G99" s="484">
        <f>SUM(G97:G98)</f>
        <v>0</v>
      </c>
      <c r="H99" s="484">
        <f>SUM(H97:H98)</f>
        <v>106</v>
      </c>
      <c r="I99" s="483">
        <v>0</v>
      </c>
      <c r="J99" s="488"/>
    </row>
    <row r="100" spans="1:10" ht="11.25" customHeight="1" thickBot="1">
      <c r="A100" s="494">
        <v>74</v>
      </c>
      <c r="B100" s="1424" t="s">
        <v>560</v>
      </c>
      <c r="C100" s="1425"/>
      <c r="D100" s="1425"/>
      <c r="E100" s="1426"/>
      <c r="F100" s="498"/>
      <c r="G100" s="498"/>
      <c r="H100" s="498"/>
      <c r="I100" s="492"/>
      <c r="J100" s="488"/>
    </row>
    <row r="101" spans="1:10" ht="12" customHeight="1">
      <c r="A101" s="491">
        <v>75</v>
      </c>
      <c r="B101" s="1436" t="s">
        <v>559</v>
      </c>
      <c r="C101" s="1437"/>
      <c r="D101" s="1437"/>
      <c r="E101" s="1373"/>
      <c r="F101" s="497">
        <f>10930+2187</f>
        <v>13117</v>
      </c>
      <c r="G101" s="497">
        <f>10930+2187</f>
        <v>13117</v>
      </c>
      <c r="H101" s="496"/>
      <c r="I101" s="495"/>
      <c r="J101" s="488"/>
    </row>
    <row r="102" spans="1:10" ht="11.25" customHeight="1" thickBot="1">
      <c r="A102" s="485">
        <v>76</v>
      </c>
      <c r="B102" s="1427" t="s">
        <v>558</v>
      </c>
      <c r="C102" s="1428"/>
      <c r="D102" s="1428"/>
      <c r="E102" s="1429"/>
      <c r="F102" s="484">
        <f>SUM(F101)</f>
        <v>13117</v>
      </c>
      <c r="G102" s="484">
        <f>SUM(G101)</f>
        <v>13117</v>
      </c>
      <c r="H102" s="484">
        <f>SUM(H101)</f>
        <v>0</v>
      </c>
      <c r="I102" s="483">
        <f>H102/G102*100</f>
        <v>0</v>
      </c>
      <c r="J102" s="488"/>
    </row>
    <row r="103" spans="1:9" ht="13.5" thickBot="1">
      <c r="A103" s="494">
        <v>77</v>
      </c>
      <c r="B103" s="1424" t="s">
        <v>557</v>
      </c>
      <c r="C103" s="1425"/>
      <c r="D103" s="1425"/>
      <c r="E103" s="1426"/>
      <c r="F103" s="493"/>
      <c r="G103" s="493"/>
      <c r="H103" s="493"/>
      <c r="I103" s="492"/>
    </row>
    <row r="104" spans="1:10" ht="12" customHeight="1">
      <c r="A104" s="491">
        <v>78</v>
      </c>
      <c r="B104" s="1436" t="s">
        <v>556</v>
      </c>
      <c r="C104" s="1437"/>
      <c r="D104" s="1437"/>
      <c r="E104" s="1373"/>
      <c r="F104" s="40">
        <f>1670+330</f>
        <v>2000</v>
      </c>
      <c r="G104" s="40">
        <v>2000</v>
      </c>
      <c r="H104" s="490"/>
      <c r="I104" s="489"/>
      <c r="J104" s="488"/>
    </row>
    <row r="105" spans="1:10" ht="12" customHeight="1">
      <c r="A105" s="89">
        <v>79</v>
      </c>
      <c r="B105" s="1155" t="s">
        <v>555</v>
      </c>
      <c r="C105" s="1042"/>
      <c r="D105" s="1042"/>
      <c r="E105" s="1043"/>
      <c r="F105" s="487"/>
      <c r="G105" s="487"/>
      <c r="H105" s="119">
        <f>496+124</f>
        <v>620</v>
      </c>
      <c r="I105" s="486"/>
      <c r="J105" s="488"/>
    </row>
    <row r="106" spans="1:10" ht="12" customHeight="1">
      <c r="A106" s="89">
        <v>80</v>
      </c>
      <c r="B106" s="1155" t="s">
        <v>554</v>
      </c>
      <c r="C106" s="1042"/>
      <c r="D106" s="1042"/>
      <c r="E106" s="1043"/>
      <c r="F106" s="487"/>
      <c r="G106" s="119">
        <f>893+223</f>
        <v>1116</v>
      </c>
      <c r="H106" s="119"/>
      <c r="I106" s="486"/>
      <c r="J106" s="488"/>
    </row>
    <row r="107" spans="1:9" ht="12.75">
      <c r="A107" s="89">
        <v>81</v>
      </c>
      <c r="B107" s="1155" t="s">
        <v>553</v>
      </c>
      <c r="C107" s="1042"/>
      <c r="D107" s="1042"/>
      <c r="E107" s="1043"/>
      <c r="F107" s="487"/>
      <c r="G107" s="487"/>
      <c r="H107" s="119">
        <f>75+19</f>
        <v>94</v>
      </c>
      <c r="I107" s="486"/>
    </row>
    <row r="108" spans="1:9" ht="12.75">
      <c r="A108" s="89">
        <v>82</v>
      </c>
      <c r="B108" s="1155" t="s">
        <v>552</v>
      </c>
      <c r="C108" s="1042"/>
      <c r="D108" s="1042"/>
      <c r="E108" s="1043"/>
      <c r="F108" s="487"/>
      <c r="G108" s="487"/>
      <c r="H108" s="119">
        <f>1638+409-1</f>
        <v>2046</v>
      </c>
      <c r="I108" s="486"/>
    </row>
    <row r="109" spans="1:9" ht="12" customHeight="1" thickBot="1">
      <c r="A109" s="485">
        <v>83</v>
      </c>
      <c r="B109" s="1427" t="s">
        <v>551</v>
      </c>
      <c r="C109" s="1428"/>
      <c r="D109" s="1428"/>
      <c r="E109" s="1429"/>
      <c r="F109" s="484">
        <f>SUM(F104:F108)</f>
        <v>2000</v>
      </c>
      <c r="G109" s="484">
        <f>SUM(G104:G108)</f>
        <v>3116</v>
      </c>
      <c r="H109" s="484">
        <f>SUM(H104:H108)</f>
        <v>2760</v>
      </c>
      <c r="I109" s="483">
        <f>H109/G109*100</f>
        <v>88.57509627727856</v>
      </c>
    </row>
    <row r="110" spans="1:9" ht="11.25" customHeight="1" thickBot="1">
      <c r="A110" s="89">
        <v>84</v>
      </c>
      <c r="B110" s="1442" t="s">
        <v>550</v>
      </c>
      <c r="C110" s="1443"/>
      <c r="D110" s="1443"/>
      <c r="E110" s="1444"/>
      <c r="F110" s="251">
        <v>1000</v>
      </c>
      <c r="G110" s="251">
        <v>1000</v>
      </c>
      <c r="H110" s="251">
        <v>1160</v>
      </c>
      <c r="I110" s="250">
        <f>H110/G110*100</f>
        <v>115.99999999999999</v>
      </c>
    </row>
    <row r="111" spans="1:9" ht="11.25" customHeight="1" thickBot="1">
      <c r="A111" s="89">
        <v>85</v>
      </c>
      <c r="B111" s="1279" t="s">
        <v>549</v>
      </c>
      <c r="C111" s="1279"/>
      <c r="D111" s="1279"/>
      <c r="E111" s="1445"/>
      <c r="F111" s="482">
        <v>2000</v>
      </c>
      <c r="G111" s="482">
        <v>2000</v>
      </c>
      <c r="H111" s="482">
        <v>1600</v>
      </c>
      <c r="I111" s="481">
        <f>H111/G111*100</f>
        <v>80</v>
      </c>
    </row>
    <row r="112" ht="11.25" customHeight="1"/>
    <row r="113" ht="12" customHeight="1"/>
    <row r="115" ht="12.75">
      <c r="C115" s="480"/>
    </row>
    <row r="116" ht="12.75">
      <c r="C116" s="480"/>
    </row>
    <row r="117" ht="12.75">
      <c r="C117" s="480"/>
    </row>
    <row r="119" spans="3:9" ht="12.75">
      <c r="C119" s="480"/>
      <c r="I119" s="480"/>
    </row>
    <row r="120" ht="18" customHeight="1"/>
    <row r="121" ht="18" customHeight="1"/>
    <row r="130" spans="2:9" ht="12.75">
      <c r="B130" s="6"/>
      <c r="C130" s="6"/>
      <c r="D130" s="6"/>
      <c r="E130" s="6"/>
      <c r="F130" s="6"/>
      <c r="G130" s="6"/>
      <c r="H130" s="1077"/>
      <c r="I130" s="1077"/>
    </row>
    <row r="131" spans="1:9" ht="12.75">
      <c r="A131" s="112"/>
      <c r="B131" s="6"/>
      <c r="C131" s="6"/>
      <c r="D131" s="6"/>
      <c r="E131" s="6"/>
      <c r="F131" s="6"/>
      <c r="G131" s="6"/>
      <c r="H131" s="106"/>
      <c r="I131" s="106"/>
    </row>
    <row r="132" spans="1:9" ht="12.75">
      <c r="A132" s="6"/>
      <c r="B132" s="6"/>
      <c r="C132" s="6"/>
      <c r="D132" s="6"/>
      <c r="E132" s="6"/>
      <c r="F132" s="6"/>
      <c r="G132" s="6"/>
      <c r="H132" s="106"/>
      <c r="I132" s="10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6"/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8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8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474"/>
      <c r="C139" s="474"/>
      <c r="D139" s="474"/>
      <c r="E139" s="474"/>
      <c r="F139" s="474"/>
      <c r="G139" s="474"/>
      <c r="H139" s="476"/>
      <c r="I139" s="476"/>
    </row>
    <row r="140" spans="1:9" ht="12.75">
      <c r="A140" s="6"/>
      <c r="B140" s="479"/>
      <c r="C140" s="479"/>
      <c r="D140" s="479"/>
      <c r="E140" s="479"/>
      <c r="F140" s="477"/>
      <c r="G140" s="477"/>
      <c r="H140" s="476"/>
      <c r="I140" s="476"/>
    </row>
    <row r="141" spans="1:9" ht="12.75">
      <c r="A141" s="6"/>
      <c r="B141" s="479"/>
      <c r="C141" s="479"/>
      <c r="D141" s="479"/>
      <c r="E141" s="479"/>
      <c r="F141" s="476"/>
      <c r="G141" s="476"/>
      <c r="H141" s="477"/>
      <c r="I141" s="477"/>
    </row>
    <row r="142" spans="1:9" ht="12.75">
      <c r="A142" s="478"/>
      <c r="B142" s="476"/>
      <c r="C142" s="476"/>
      <c r="D142" s="476"/>
      <c r="E142" s="476"/>
      <c r="F142" s="474"/>
      <c r="G142" s="474"/>
      <c r="H142" s="474"/>
      <c r="I142" s="474"/>
    </row>
    <row r="143" spans="1:10" ht="12.75">
      <c r="A143" s="478"/>
      <c r="B143" s="476"/>
      <c r="C143" s="476"/>
      <c r="D143" s="476"/>
      <c r="E143" s="476"/>
      <c r="F143" s="474"/>
      <c r="G143" s="474"/>
      <c r="H143" s="474"/>
      <c r="I143" s="474"/>
      <c r="J143" s="9"/>
    </row>
    <row r="144" spans="1:10" ht="12.75">
      <c r="A144" s="477"/>
      <c r="B144" s="476"/>
      <c r="C144" s="476"/>
      <c r="D144" s="476"/>
      <c r="E144" s="476"/>
      <c r="F144" s="474"/>
      <c r="G144" s="474"/>
      <c r="H144" s="474"/>
      <c r="I144" s="474"/>
      <c r="J144" s="9"/>
    </row>
    <row r="145" spans="1:10" ht="12.75">
      <c r="A145" s="6"/>
      <c r="B145" s="476"/>
      <c r="C145" s="476"/>
      <c r="D145" s="476"/>
      <c r="E145" s="476"/>
      <c r="F145" s="474"/>
      <c r="G145" s="474"/>
      <c r="H145" s="474"/>
      <c r="I145" s="474"/>
      <c r="J145" s="9"/>
    </row>
    <row r="146" spans="1:9" ht="12.75" customHeight="1">
      <c r="A146" s="6"/>
      <c r="B146" s="476"/>
      <c r="C146" s="476"/>
      <c r="D146" s="476"/>
      <c r="E146" s="476"/>
      <c r="F146" s="474"/>
      <c r="G146" s="474"/>
      <c r="H146" s="474"/>
      <c r="I146" s="474"/>
    </row>
    <row r="147" spans="1:9" ht="16.5" customHeight="1">
      <c r="A147" s="6"/>
      <c r="B147" s="476"/>
      <c r="C147" s="476"/>
      <c r="D147" s="476"/>
      <c r="E147" s="476"/>
      <c r="F147" s="474"/>
      <c r="G147" s="474"/>
      <c r="H147" s="474"/>
      <c r="I147" s="474"/>
    </row>
    <row r="148" spans="1:10" ht="12.75" customHeight="1">
      <c r="A148" s="6"/>
      <c r="B148" s="476"/>
      <c r="C148" s="476"/>
      <c r="D148" s="476"/>
      <c r="E148" s="476"/>
      <c r="F148" s="474"/>
      <c r="G148" s="474"/>
      <c r="H148" s="474"/>
      <c r="I148" s="474"/>
      <c r="J148" s="2"/>
    </row>
    <row r="149" spans="1:10" ht="12.75">
      <c r="A149" s="6"/>
      <c r="B149" s="476"/>
      <c r="C149" s="476"/>
      <c r="D149" s="476"/>
      <c r="E149" s="476"/>
      <c r="F149" s="474"/>
      <c r="G149" s="474"/>
      <c r="H149" s="474"/>
      <c r="I149" s="474"/>
      <c r="J149" s="2"/>
    </row>
    <row r="150" spans="1:10" ht="12.75">
      <c r="A150" s="6"/>
      <c r="B150" s="475"/>
      <c r="C150" s="475"/>
      <c r="D150" s="475"/>
      <c r="E150" s="475"/>
      <c r="F150" s="474"/>
      <c r="G150" s="474"/>
      <c r="H150" s="474"/>
      <c r="I150" s="474"/>
      <c r="J150" s="42"/>
    </row>
    <row r="151" ht="12.75">
      <c r="A151" s="6"/>
    </row>
    <row r="152" spans="1:10" ht="18" customHeight="1">
      <c r="A152" s="6"/>
      <c r="J152" s="1"/>
    </row>
    <row r="153" ht="18" customHeight="1"/>
    <row r="154" ht="18" customHeight="1"/>
    <row r="162" ht="18" customHeight="1"/>
    <row r="188" spans="2:9" ht="12.75">
      <c r="B188" s="6"/>
      <c r="C188" s="6"/>
      <c r="D188" s="6"/>
      <c r="E188" s="6"/>
      <c r="F188" s="6"/>
      <c r="G188" s="6"/>
      <c r="H188" s="10"/>
      <c r="I188" s="10"/>
    </row>
    <row r="189" spans="2:9" ht="12.75">
      <c r="B189" s="6"/>
      <c r="C189" s="6"/>
      <c r="D189" s="6"/>
      <c r="E189" s="6"/>
      <c r="F189" s="6"/>
      <c r="G189" s="6"/>
      <c r="H189" s="6"/>
      <c r="I189" s="6"/>
    </row>
    <row r="190" spans="2:9" ht="12.75">
      <c r="B190" s="6"/>
      <c r="C190" s="6"/>
      <c r="D190" s="6"/>
      <c r="E190" s="6"/>
      <c r="F190" s="6"/>
      <c r="G190" s="6"/>
      <c r="H190" s="6"/>
      <c r="I190" s="6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6"/>
      <c r="C194" s="6"/>
      <c r="D194" s="6"/>
      <c r="E194" s="6"/>
      <c r="F194" s="6"/>
      <c r="G194" s="6"/>
      <c r="H194" s="6"/>
      <c r="I194" s="6"/>
    </row>
    <row r="195" spans="2:9" ht="12.75">
      <c r="B195" s="6"/>
      <c r="C195" s="6"/>
      <c r="D195" s="6"/>
      <c r="E195" s="6"/>
      <c r="F195" s="6"/>
      <c r="G195" s="6"/>
      <c r="H195" s="6"/>
      <c r="I195" s="6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6"/>
      <c r="C197" s="6"/>
      <c r="D197" s="6"/>
      <c r="E197" s="6"/>
      <c r="F197" s="6"/>
      <c r="G197" s="6"/>
      <c r="H197" s="6"/>
      <c r="I197" s="6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3"/>
      <c r="C199" s="3"/>
      <c r="D199" s="3"/>
      <c r="E199" s="3"/>
      <c r="F199" s="3"/>
      <c r="G199" s="3"/>
      <c r="H199" s="3"/>
      <c r="I199" s="3"/>
    </row>
    <row r="200" spans="2:9" ht="12.75">
      <c r="B200" s="3"/>
      <c r="C200" s="3"/>
      <c r="D200" s="3"/>
      <c r="E200" s="3"/>
      <c r="F200" s="3"/>
      <c r="G200" s="3"/>
      <c r="H200" s="3"/>
      <c r="I200" s="3"/>
    </row>
    <row r="201" spans="2:10" ht="12.75">
      <c r="B201" s="3"/>
      <c r="C201" s="3"/>
      <c r="D201" s="3"/>
      <c r="E201" s="3"/>
      <c r="F201" s="3"/>
      <c r="G201" s="3"/>
      <c r="H201" s="3"/>
      <c r="I201" s="3"/>
      <c r="J201" s="10"/>
    </row>
    <row r="202" spans="2:10" ht="12.75">
      <c r="B202" s="3"/>
      <c r="C202" s="3"/>
      <c r="D202" s="3"/>
      <c r="E202" s="3"/>
      <c r="F202" s="3"/>
      <c r="G202" s="3"/>
      <c r="H202" s="3"/>
      <c r="I202" s="3"/>
      <c r="J202" s="6"/>
    </row>
    <row r="203" spans="2:10" ht="12.75">
      <c r="B203" s="3"/>
      <c r="C203" s="3"/>
      <c r="D203" s="3"/>
      <c r="E203" s="3"/>
      <c r="F203" s="3"/>
      <c r="G203" s="3"/>
      <c r="H203" s="3"/>
      <c r="I203" s="3"/>
      <c r="J203" s="6"/>
    </row>
    <row r="204" spans="2:10" ht="12.75">
      <c r="B204" s="3"/>
      <c r="C204" s="3"/>
      <c r="D204" s="3"/>
      <c r="E204" s="3"/>
      <c r="F204" s="3"/>
      <c r="G204" s="3"/>
      <c r="H204" s="3"/>
      <c r="I204" s="3"/>
      <c r="J204" s="8"/>
    </row>
    <row r="205" spans="2:10" ht="12.75">
      <c r="B205" s="3"/>
      <c r="C205" s="3"/>
      <c r="D205" s="3"/>
      <c r="E205" s="3"/>
      <c r="F205" s="3"/>
      <c r="G205" s="3"/>
      <c r="H205" s="3"/>
      <c r="I205" s="3"/>
      <c r="J205" s="8"/>
    </row>
    <row r="206" spans="2:10" ht="12.75">
      <c r="B206" s="3"/>
      <c r="C206" s="3"/>
      <c r="D206" s="3"/>
      <c r="E206" s="3"/>
      <c r="F206" s="3"/>
      <c r="G206" s="3"/>
      <c r="H206" s="3"/>
      <c r="I206" s="3"/>
      <c r="J206" s="8"/>
    </row>
    <row r="207" spans="2:10" ht="12.75">
      <c r="B207" s="3"/>
      <c r="C207" s="3"/>
      <c r="D207" s="3"/>
      <c r="E207" s="3"/>
      <c r="F207" s="3"/>
      <c r="G207" s="3"/>
      <c r="H207" s="3"/>
      <c r="I207" s="3"/>
      <c r="J207" s="6"/>
    </row>
    <row r="208" spans="2:10" ht="12.75">
      <c r="B208" s="3"/>
      <c r="C208" s="3"/>
      <c r="D208" s="3"/>
      <c r="E208" s="3"/>
      <c r="F208" s="3"/>
      <c r="G208" s="3"/>
      <c r="H208" s="3"/>
      <c r="I208" s="3"/>
      <c r="J208" s="6"/>
    </row>
    <row r="209" spans="2:10" ht="12.75">
      <c r="B209" s="3"/>
      <c r="C209" s="3"/>
      <c r="D209" s="3"/>
      <c r="E209" s="3"/>
      <c r="F209" s="3"/>
      <c r="G209" s="3"/>
      <c r="H209" s="3"/>
      <c r="I209" s="3"/>
      <c r="J209" s="8"/>
    </row>
    <row r="210" spans="2:10" ht="12.75">
      <c r="B210" s="3"/>
      <c r="C210" s="3"/>
      <c r="D210" s="3"/>
      <c r="E210" s="3"/>
      <c r="F210" s="3"/>
      <c r="G210" s="3"/>
      <c r="H210" s="3"/>
      <c r="I210" s="3"/>
      <c r="J210" s="6"/>
    </row>
    <row r="211" spans="2:10" ht="12.75">
      <c r="B211" s="3"/>
      <c r="C211" s="3"/>
      <c r="D211" s="3"/>
      <c r="E211" s="3"/>
      <c r="F211" s="3"/>
      <c r="G211" s="3"/>
      <c r="H211" s="3"/>
      <c r="I211" s="3"/>
      <c r="J211" s="8"/>
    </row>
    <row r="212" spans="2:10" ht="12.75">
      <c r="B212" s="3"/>
      <c r="C212" s="3"/>
      <c r="D212" s="3"/>
      <c r="E212" s="3"/>
      <c r="F212" s="3"/>
      <c r="G212" s="3"/>
      <c r="H212" s="3"/>
      <c r="I212" s="3"/>
      <c r="J212" s="6"/>
    </row>
    <row r="213" spans="2:10" ht="12.75">
      <c r="B213" s="3"/>
      <c r="C213" s="3"/>
      <c r="D213" s="3"/>
      <c r="E213" s="3"/>
      <c r="F213" s="3"/>
      <c r="G213" s="3"/>
      <c r="H213" s="3"/>
      <c r="I213" s="3"/>
      <c r="J213" s="6"/>
    </row>
    <row r="214" spans="2:10" ht="12.75">
      <c r="B214" s="3"/>
      <c r="C214" s="3"/>
      <c r="D214" s="3"/>
      <c r="E214" s="3"/>
      <c r="F214" s="3"/>
      <c r="G214" s="3"/>
      <c r="H214" s="3"/>
      <c r="I214" s="3"/>
      <c r="J214" s="6"/>
    </row>
    <row r="215" spans="2:10" ht="12.75">
      <c r="B215" s="3"/>
      <c r="C215" s="3"/>
      <c r="D215" s="3"/>
      <c r="E215" s="3"/>
      <c r="F215" s="3"/>
      <c r="G215" s="3"/>
      <c r="H215" s="3"/>
      <c r="I215" s="3"/>
      <c r="J215" s="6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6"/>
    </row>
    <row r="217" spans="2:10" ht="12.75">
      <c r="B217" s="3"/>
      <c r="C217" s="3"/>
      <c r="D217" s="3"/>
      <c r="E217" s="3"/>
      <c r="F217" s="3"/>
      <c r="G217" s="3"/>
      <c r="H217" s="3"/>
      <c r="I217" s="3"/>
      <c r="J217" s="6"/>
    </row>
    <row r="218" spans="2:10" ht="12.75">
      <c r="B218" s="3"/>
      <c r="C218" s="3"/>
      <c r="D218" s="3"/>
      <c r="E218" s="3"/>
      <c r="F218" s="3"/>
      <c r="G218" s="3"/>
      <c r="H218" s="3"/>
      <c r="I218" s="3"/>
      <c r="J218" s="6"/>
    </row>
    <row r="219" spans="2:10" ht="12.75">
      <c r="B219" s="3"/>
      <c r="C219" s="3"/>
      <c r="D219" s="3"/>
      <c r="E219" s="3"/>
      <c r="F219" s="3"/>
      <c r="G219" s="3"/>
      <c r="H219" s="3"/>
      <c r="I219" s="3"/>
      <c r="J219" s="6"/>
    </row>
    <row r="220" spans="2:10" ht="12.75">
      <c r="B220" s="3"/>
      <c r="C220" s="3"/>
      <c r="D220" s="3"/>
      <c r="E220" s="3"/>
      <c r="F220" s="3"/>
      <c r="G220" s="3"/>
      <c r="H220" s="3"/>
      <c r="I220" s="3"/>
      <c r="J220" s="6"/>
    </row>
    <row r="221" spans="2:10" ht="12.75">
      <c r="B221" s="3"/>
      <c r="C221" s="3"/>
      <c r="D221" s="3"/>
      <c r="E221" s="3"/>
      <c r="F221" s="3"/>
      <c r="G221" s="3"/>
      <c r="H221" s="3"/>
      <c r="I221" s="3"/>
      <c r="J221" s="6"/>
    </row>
    <row r="222" spans="2:10" ht="12.75">
      <c r="B222" s="3"/>
      <c r="C222" s="3"/>
      <c r="D222" s="3"/>
      <c r="E222" s="3"/>
      <c r="F222" s="3"/>
      <c r="G222" s="3"/>
      <c r="H222" s="3"/>
      <c r="I222" s="3"/>
      <c r="J222" s="6"/>
    </row>
    <row r="223" spans="2:10" ht="12.75">
      <c r="B223" s="3"/>
      <c r="C223" s="3"/>
      <c r="D223" s="3"/>
      <c r="E223" s="3"/>
      <c r="F223" s="3"/>
      <c r="G223" s="3"/>
      <c r="H223" s="3"/>
      <c r="I223" s="3"/>
      <c r="J223" s="6"/>
    </row>
    <row r="224" spans="2:10" ht="12.75">
      <c r="B224" s="3"/>
      <c r="C224" s="3"/>
      <c r="D224" s="3"/>
      <c r="E224" s="3"/>
      <c r="F224" s="3"/>
      <c r="G224" s="3"/>
      <c r="H224" s="3"/>
      <c r="I224" s="3"/>
      <c r="J224" s="6"/>
    </row>
    <row r="225" spans="2:10" ht="12.75">
      <c r="B225" s="3"/>
      <c r="C225" s="3"/>
      <c r="D225" s="3"/>
      <c r="E225" s="3"/>
      <c r="F225" s="3"/>
      <c r="G225" s="3"/>
      <c r="H225" s="3"/>
      <c r="I225" s="3"/>
      <c r="J225" s="6"/>
    </row>
    <row r="226" spans="2:10" ht="12.75">
      <c r="B226" s="3"/>
      <c r="C226" s="3"/>
      <c r="D226" s="3"/>
      <c r="E226" s="3"/>
      <c r="F226" s="3"/>
      <c r="G226" s="3"/>
      <c r="H226" s="3"/>
      <c r="I226" s="3"/>
      <c r="J226" s="6"/>
    </row>
    <row r="227" spans="2:10" ht="12.75">
      <c r="B227" s="3"/>
      <c r="C227" s="3"/>
      <c r="D227" s="3"/>
      <c r="E227" s="3"/>
      <c r="F227" s="3"/>
      <c r="G227" s="3"/>
      <c r="H227" s="3"/>
      <c r="I227" s="3"/>
      <c r="J227" s="6"/>
    </row>
    <row r="228" spans="2:10" ht="12.75">
      <c r="B228" s="3"/>
      <c r="C228" s="3"/>
      <c r="D228" s="3"/>
      <c r="E228" s="3"/>
      <c r="F228" s="3"/>
      <c r="G228" s="3"/>
      <c r="H228" s="3"/>
      <c r="I228" s="3"/>
      <c r="J228" s="6"/>
    </row>
    <row r="229" spans="2:10" ht="12.75">
      <c r="B229" s="3"/>
      <c r="C229" s="3"/>
      <c r="D229" s="3"/>
      <c r="E229" s="3"/>
      <c r="F229" s="3"/>
      <c r="G229" s="3"/>
      <c r="H229" s="3"/>
      <c r="I229" s="3"/>
      <c r="J229" s="6"/>
    </row>
    <row r="230" spans="2:10" ht="12.75">
      <c r="B230" s="3"/>
      <c r="C230" s="3"/>
      <c r="D230" s="3"/>
      <c r="E230" s="3"/>
      <c r="F230" s="3"/>
      <c r="G230" s="3"/>
      <c r="H230" s="3"/>
      <c r="I230" s="3"/>
      <c r="J230" s="6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6"/>
    </row>
    <row r="232" spans="2:10" ht="12.75">
      <c r="B232" s="6"/>
      <c r="C232" s="6"/>
      <c r="D232" s="6"/>
      <c r="E232" s="6"/>
      <c r="F232" s="6"/>
      <c r="G232" s="6"/>
      <c r="H232" s="6"/>
      <c r="I232" s="6"/>
      <c r="J232" s="6"/>
    </row>
    <row r="233" spans="2:10" ht="12.75">
      <c r="B233" s="6"/>
      <c r="C233" s="6"/>
      <c r="D233" s="6"/>
      <c r="E233" s="6"/>
      <c r="F233" s="6"/>
      <c r="G233" s="6"/>
      <c r="H233" s="6"/>
      <c r="I233" s="6"/>
      <c r="J233" s="6"/>
    </row>
    <row r="234" spans="2:10" ht="12.75">
      <c r="B234" s="6"/>
      <c r="C234" s="6"/>
      <c r="D234" s="6"/>
      <c r="E234" s="6"/>
      <c r="F234" s="6"/>
      <c r="G234" s="6"/>
      <c r="H234" s="6"/>
      <c r="I234" s="6"/>
      <c r="J234" s="6"/>
    </row>
    <row r="235" spans="2:10" ht="12.75">
      <c r="B235" s="6"/>
      <c r="C235" s="6"/>
      <c r="D235" s="6"/>
      <c r="E235" s="6"/>
      <c r="F235" s="6"/>
      <c r="G235" s="6"/>
      <c r="H235" s="6"/>
      <c r="I235" s="6"/>
      <c r="J235" s="6"/>
    </row>
    <row r="236" spans="2:10" ht="12.75">
      <c r="B236" s="6"/>
      <c r="C236" s="6"/>
      <c r="D236" s="6"/>
      <c r="E236" s="6"/>
      <c r="F236" s="6"/>
      <c r="G236" s="6"/>
      <c r="H236" s="6"/>
      <c r="I236" s="6"/>
      <c r="J236" s="6"/>
    </row>
    <row r="237" spans="2:10" ht="12.75">
      <c r="B237" s="6"/>
      <c r="C237" s="6"/>
      <c r="D237" s="6"/>
      <c r="E237" s="6"/>
      <c r="F237" s="6"/>
      <c r="G237" s="6"/>
      <c r="H237" s="6"/>
      <c r="I237" s="6"/>
      <c r="J237" s="6"/>
    </row>
    <row r="238" spans="2:10" ht="12.75">
      <c r="B238" s="6"/>
      <c r="C238" s="6"/>
      <c r="D238" s="6"/>
      <c r="E238" s="6"/>
      <c r="F238" s="6"/>
      <c r="G238" s="6"/>
      <c r="H238" s="6"/>
      <c r="I238" s="6"/>
      <c r="J238" s="6"/>
    </row>
    <row r="239" spans="2:10" ht="12.75">
      <c r="B239" s="6"/>
      <c r="C239" s="6"/>
      <c r="D239" s="6"/>
      <c r="E239" s="6"/>
      <c r="F239" s="6"/>
      <c r="G239" s="6"/>
      <c r="H239" s="6"/>
      <c r="I239" s="6"/>
      <c r="J239" s="6"/>
    </row>
    <row r="240" spans="2:10" ht="12.75">
      <c r="B240" s="6"/>
      <c r="C240" s="6"/>
      <c r="D240" s="6"/>
      <c r="E240" s="6"/>
      <c r="F240" s="6"/>
      <c r="G240" s="6"/>
      <c r="H240" s="6"/>
      <c r="I240" s="6"/>
      <c r="J240" s="6"/>
    </row>
    <row r="241" spans="2:10" ht="12.75">
      <c r="B241" s="6"/>
      <c r="C241" s="6"/>
      <c r="D241" s="6"/>
      <c r="E241" s="6"/>
      <c r="F241" s="6"/>
      <c r="G241" s="6"/>
      <c r="H241" s="6"/>
      <c r="I241" s="10"/>
      <c r="J241" s="6"/>
    </row>
    <row r="242" spans="2:10" ht="12.75">
      <c r="B242" s="6"/>
      <c r="C242" s="6"/>
      <c r="D242" s="6"/>
      <c r="E242" s="6"/>
      <c r="F242" s="6"/>
      <c r="G242" s="6"/>
      <c r="H242" s="6"/>
      <c r="I242" s="6"/>
      <c r="J242" s="6"/>
    </row>
    <row r="243" spans="2:10" ht="12.75">
      <c r="B243" s="6"/>
      <c r="C243" s="6"/>
      <c r="D243" s="6"/>
      <c r="E243" s="6"/>
      <c r="F243" s="6"/>
      <c r="G243" s="6"/>
      <c r="H243" s="6"/>
      <c r="I243" s="6"/>
      <c r="J243" s="6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6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6"/>
    </row>
    <row r="246" spans="2:10" ht="12.75">
      <c r="B246" s="6"/>
      <c r="C246" s="6"/>
      <c r="D246" s="6"/>
      <c r="E246" s="6"/>
      <c r="F246" s="6"/>
      <c r="G246" s="6"/>
      <c r="H246" s="6"/>
      <c r="I246" s="6"/>
      <c r="J246" s="6"/>
    </row>
    <row r="247" spans="2:10" ht="12.75">
      <c r="B247" s="6"/>
      <c r="C247" s="6"/>
      <c r="D247" s="6"/>
      <c r="E247" s="6"/>
      <c r="F247" s="6"/>
      <c r="G247" s="6"/>
      <c r="H247" s="6"/>
      <c r="I247" s="6"/>
      <c r="J247" s="6"/>
    </row>
    <row r="248" spans="2:10" ht="12.75">
      <c r="B248" s="6"/>
      <c r="C248" s="6"/>
      <c r="D248" s="6"/>
      <c r="E248" s="6"/>
      <c r="F248" s="6"/>
      <c r="G248" s="6"/>
      <c r="H248" s="3"/>
      <c r="I248" s="3"/>
      <c r="J248" s="6"/>
    </row>
    <row r="249" spans="2:10" ht="12.75">
      <c r="B249" s="7"/>
      <c r="C249" s="7"/>
      <c r="D249" s="7"/>
      <c r="E249" s="7"/>
      <c r="F249" s="12"/>
      <c r="G249" s="13"/>
      <c r="H249" s="13"/>
      <c r="I249" s="13"/>
      <c r="J249" s="6"/>
    </row>
    <row r="250" spans="2:10" ht="12.75">
      <c r="B250" s="7"/>
      <c r="C250" s="7"/>
      <c r="D250" s="7"/>
      <c r="E250" s="7"/>
      <c r="F250" s="12"/>
      <c r="G250" s="13"/>
      <c r="H250" s="8"/>
      <c r="I250" s="3"/>
      <c r="J250" s="6"/>
    </row>
    <row r="251" spans="2:10" ht="12.75">
      <c r="B251" s="7"/>
      <c r="C251" s="7"/>
      <c r="D251" s="7"/>
      <c r="E251" s="7"/>
      <c r="F251" s="12"/>
      <c r="G251" s="13"/>
      <c r="H251" s="13"/>
      <c r="I251" s="13"/>
      <c r="J251" s="6"/>
    </row>
    <row r="252" spans="2:10" ht="12.75">
      <c r="B252" s="3"/>
      <c r="C252" s="3"/>
      <c r="D252" s="3"/>
      <c r="E252" s="3"/>
      <c r="F252" s="3"/>
      <c r="G252" s="3"/>
      <c r="H252" s="3"/>
      <c r="I252" s="3"/>
      <c r="J252" s="6"/>
    </row>
    <row r="253" spans="2:10" ht="12.75">
      <c r="B253" s="3"/>
      <c r="C253" s="3"/>
      <c r="D253" s="3"/>
      <c r="E253" s="3"/>
      <c r="F253" s="3"/>
      <c r="G253" s="3"/>
      <c r="H253" s="3"/>
      <c r="I253" s="3"/>
      <c r="J253" s="6"/>
    </row>
    <row r="254" spans="2:10" ht="12.75">
      <c r="B254" s="3"/>
      <c r="C254" s="3"/>
      <c r="D254" s="3"/>
      <c r="E254" s="3"/>
      <c r="F254" s="6"/>
      <c r="G254" s="3"/>
      <c r="H254" s="3"/>
      <c r="I254" s="3"/>
      <c r="J254" s="10"/>
    </row>
    <row r="255" spans="2:10" ht="12.75">
      <c r="B255" s="3"/>
      <c r="C255" s="3"/>
      <c r="D255" s="3"/>
      <c r="E255" s="3"/>
      <c r="F255" s="3"/>
      <c r="G255" s="3"/>
      <c r="H255" s="3"/>
      <c r="I255" s="3"/>
      <c r="J255" s="6"/>
    </row>
    <row r="256" spans="2:10" ht="12.75">
      <c r="B256" s="3"/>
      <c r="C256" s="3"/>
      <c r="D256" s="3"/>
      <c r="E256" s="3"/>
      <c r="F256" s="3"/>
      <c r="G256" s="3"/>
      <c r="H256" s="3"/>
      <c r="I256" s="3"/>
      <c r="J256" s="6"/>
    </row>
    <row r="257" spans="2:10" ht="12.75">
      <c r="B257" s="3"/>
      <c r="C257" s="3"/>
      <c r="D257" s="3"/>
      <c r="E257" s="3"/>
      <c r="F257" s="3"/>
      <c r="G257" s="3"/>
      <c r="H257" s="3"/>
      <c r="I257" s="3"/>
      <c r="J257" s="6"/>
    </row>
    <row r="258" spans="2:10" ht="12.75">
      <c r="B258" s="3"/>
      <c r="C258" s="3"/>
      <c r="D258" s="3"/>
      <c r="E258" s="3"/>
      <c r="F258" s="3"/>
      <c r="G258" s="3"/>
      <c r="H258" s="3"/>
      <c r="I258" s="3"/>
      <c r="J258" s="6"/>
    </row>
    <row r="259" spans="2:10" ht="12.75">
      <c r="B259" s="3"/>
      <c r="C259" s="3"/>
      <c r="D259" s="3"/>
      <c r="E259" s="3"/>
      <c r="F259" s="3"/>
      <c r="G259" s="3"/>
      <c r="H259" s="3"/>
      <c r="I259" s="3"/>
      <c r="J259" s="6"/>
    </row>
    <row r="260" spans="2:10" ht="12.75">
      <c r="B260" s="3"/>
      <c r="C260" s="3"/>
      <c r="D260" s="3"/>
      <c r="E260" s="3"/>
      <c r="F260" s="3"/>
      <c r="G260" s="3"/>
      <c r="H260" s="3"/>
      <c r="I260" s="3"/>
      <c r="J260" s="6"/>
    </row>
    <row r="261" spans="2:10" ht="12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2.75">
      <c r="B262" s="8"/>
      <c r="C262" s="8"/>
      <c r="D262" s="8"/>
      <c r="E262" s="8"/>
      <c r="F262" s="6"/>
      <c r="G262" s="3"/>
      <c r="H262" s="3"/>
      <c r="I262" s="3"/>
      <c r="J262" s="13"/>
    </row>
    <row r="263" spans="2:10" ht="12.75">
      <c r="B263" s="3"/>
      <c r="C263" s="3"/>
      <c r="D263" s="3"/>
      <c r="E263" s="3"/>
      <c r="F263" s="6"/>
      <c r="G263" s="3"/>
      <c r="H263" s="3"/>
      <c r="I263" s="3"/>
      <c r="J263" s="3"/>
    </row>
    <row r="264" spans="2:10" ht="12.75">
      <c r="B264" s="3"/>
      <c r="C264" s="3"/>
      <c r="D264" s="3"/>
      <c r="E264" s="3"/>
      <c r="F264" s="6"/>
      <c r="G264" s="3"/>
      <c r="H264" s="3"/>
      <c r="I264" s="3"/>
      <c r="J264" s="13"/>
    </row>
    <row r="265" spans="2:10" ht="12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2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2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2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2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2.75">
      <c r="B271" s="3"/>
      <c r="C271" s="3"/>
      <c r="D271" s="3"/>
      <c r="E271" s="3"/>
      <c r="F271" s="6"/>
      <c r="G271" s="3"/>
      <c r="H271" s="3"/>
      <c r="I271" s="3"/>
      <c r="J271" s="3"/>
    </row>
    <row r="272" spans="2:10" ht="12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2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2.75">
      <c r="B274" s="6"/>
      <c r="C274" s="6"/>
      <c r="D274" s="6"/>
      <c r="E274" s="6"/>
      <c r="F274" s="6"/>
      <c r="G274" s="6"/>
      <c r="H274" s="6"/>
      <c r="I274" s="6"/>
      <c r="J274" s="3"/>
    </row>
    <row r="275" spans="2:10" ht="12.75">
      <c r="B275" s="6"/>
      <c r="C275" s="6"/>
      <c r="D275" s="6"/>
      <c r="E275" s="6"/>
      <c r="F275" s="6"/>
      <c r="G275" s="6"/>
      <c r="H275" s="6"/>
      <c r="I275" s="6"/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6"/>
    </row>
    <row r="288" ht="12.75">
      <c r="J288" s="6"/>
    </row>
  </sheetData>
  <sheetProtection/>
  <mergeCells count="102">
    <mergeCell ref="B111:E111"/>
    <mergeCell ref="B69:E69"/>
    <mergeCell ref="B94:E94"/>
    <mergeCell ref="B85:E85"/>
    <mergeCell ref="B93:E93"/>
    <mergeCell ref="B75:E75"/>
    <mergeCell ref="B76:E76"/>
    <mergeCell ref="B77:E77"/>
    <mergeCell ref="B74:E74"/>
    <mergeCell ref="B25:E25"/>
    <mergeCell ref="B26:E26"/>
    <mergeCell ref="B27:E27"/>
    <mergeCell ref="B30:E30"/>
    <mergeCell ref="B52:E52"/>
    <mergeCell ref="B110:E110"/>
    <mergeCell ref="H66:I66"/>
    <mergeCell ref="A66:A67"/>
    <mergeCell ref="B51:E51"/>
    <mergeCell ref="B48:E48"/>
    <mergeCell ref="B72:E72"/>
    <mergeCell ref="B73:E73"/>
    <mergeCell ref="A62:I63"/>
    <mergeCell ref="B107:E107"/>
    <mergeCell ref="B108:E108"/>
    <mergeCell ref="B95:E95"/>
    <mergeCell ref="B97:E97"/>
    <mergeCell ref="B53:E53"/>
    <mergeCell ref="B84:E84"/>
    <mergeCell ref="B78:E78"/>
    <mergeCell ref="B86:E86"/>
    <mergeCell ref="B87:E87"/>
    <mergeCell ref="A61:I61"/>
    <mergeCell ref="B15:E15"/>
    <mergeCell ref="B50:E50"/>
    <mergeCell ref="B16:E16"/>
    <mergeCell ref="B20:E20"/>
    <mergeCell ref="B21:E21"/>
    <mergeCell ref="B88:E88"/>
    <mergeCell ref="B40:E40"/>
    <mergeCell ref="B79:E79"/>
    <mergeCell ref="B80:E80"/>
    <mergeCell ref="B54:E54"/>
    <mergeCell ref="B18:E18"/>
    <mergeCell ref="B17:E17"/>
    <mergeCell ref="B33:E33"/>
    <mergeCell ref="B31:E31"/>
    <mergeCell ref="B100:E100"/>
    <mergeCell ref="B101:E101"/>
    <mergeCell ref="B91:E91"/>
    <mergeCell ref="B89:E89"/>
    <mergeCell ref="B98:E98"/>
    <mergeCell ref="B81:E81"/>
    <mergeCell ref="B32:E32"/>
    <mergeCell ref="B46:E46"/>
    <mergeCell ref="B68:E68"/>
    <mergeCell ref="B45:E45"/>
    <mergeCell ref="A13:E13"/>
    <mergeCell ref="B23:E23"/>
    <mergeCell ref="B28:E28"/>
    <mergeCell ref="B22:E22"/>
    <mergeCell ref="B35:E35"/>
    <mergeCell ref="B42:E42"/>
    <mergeCell ref="B29:E29"/>
    <mergeCell ref="B105:E105"/>
    <mergeCell ref="B96:E96"/>
    <mergeCell ref="B90:E90"/>
    <mergeCell ref="B83:E83"/>
    <mergeCell ref="B34:E34"/>
    <mergeCell ref="B38:E38"/>
    <mergeCell ref="B66:E67"/>
    <mergeCell ref="B44:E44"/>
    <mergeCell ref="B37:E37"/>
    <mergeCell ref="H130:I130"/>
    <mergeCell ref="B39:E39"/>
    <mergeCell ref="B49:E49"/>
    <mergeCell ref="B41:E41"/>
    <mergeCell ref="B103:E103"/>
    <mergeCell ref="B104:E104"/>
    <mergeCell ref="B92:E92"/>
    <mergeCell ref="B70:E70"/>
    <mergeCell ref="B109:E109"/>
    <mergeCell ref="B102:E102"/>
    <mergeCell ref="H1:I1"/>
    <mergeCell ref="B11:E12"/>
    <mergeCell ref="H11:I11"/>
    <mergeCell ref="F12:G12"/>
    <mergeCell ref="A5:I5"/>
    <mergeCell ref="B24:E24"/>
    <mergeCell ref="H7:I7"/>
    <mergeCell ref="A6:I6"/>
    <mergeCell ref="A11:A12"/>
    <mergeCell ref="B14:E14"/>
    <mergeCell ref="F67:G67"/>
    <mergeCell ref="B10:E10"/>
    <mergeCell ref="B106:E106"/>
    <mergeCell ref="B19:E19"/>
    <mergeCell ref="B71:E71"/>
    <mergeCell ref="B36:E36"/>
    <mergeCell ref="B43:E43"/>
    <mergeCell ref="B65:E65"/>
    <mergeCell ref="B47:E47"/>
    <mergeCell ref="B82:E82"/>
  </mergeCells>
  <printOptions/>
  <pageMargins left="0.7480314960629921" right="0.7480314960629921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szamla</cp:lastModifiedBy>
  <cp:lastPrinted>2010-11-18T07:17:28Z</cp:lastPrinted>
  <dcterms:created xsi:type="dcterms:W3CDTF">2004-08-12T06:12:31Z</dcterms:created>
  <dcterms:modified xsi:type="dcterms:W3CDTF">2010-11-18T07:24:12Z</dcterms:modified>
  <cp:category/>
  <cp:version/>
  <cp:contentType/>
  <cp:contentStatus/>
</cp:coreProperties>
</file>